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6" windowWidth="9720" windowHeight="5688" firstSheet="1" activeTab="1"/>
  </bookViews>
  <sheets>
    <sheet name="Hoja1" sheetId="1" r:id="rId1"/>
    <sheet name="GASTOS " sheetId="2" r:id="rId2"/>
  </sheets>
  <externalReferences>
    <externalReference r:id="rId5"/>
    <externalReference r:id="rId6"/>
    <externalReference r:id="rId7"/>
  </externalReferences>
  <definedNames>
    <definedName name="_xlnm.Print_Area" localSheetId="1">'GASTOS '!$A$1:$P$142</definedName>
    <definedName name="_xlnm.Print_Titles" localSheetId="1">'GASTOS '!$1:$9</definedName>
  </definedNames>
  <calcPr fullCalcOnLoad="1"/>
</workbook>
</file>

<file path=xl/sharedStrings.xml><?xml version="1.0" encoding="utf-8"?>
<sst xmlns="http://schemas.openxmlformats.org/spreadsheetml/2006/main" count="311" uniqueCount="267">
  <si>
    <t xml:space="preserve">        MINISTERIO DE HACIENDA Y CREDITO PUBLICO</t>
  </si>
  <si>
    <t>SECCION : MINISTERIIO DE TRANSPORTE</t>
  </si>
  <si>
    <t xml:space="preserve">    INFORME DE EJECUCION DE GASTOS DE LAS EMPRESAS </t>
  </si>
  <si>
    <t xml:space="preserve">                                   FORMULARIO 2</t>
  </si>
  <si>
    <t xml:space="preserve">              MODIFICACIONES PRESUPUESTAL</t>
  </si>
  <si>
    <t>PRESUP</t>
  </si>
  <si>
    <t xml:space="preserve">            EJCUCION PRESUPUESTAL</t>
  </si>
  <si>
    <t xml:space="preserve">           PORCENTAJE DE EJCUCION</t>
  </si>
  <si>
    <t>CONCEPTOS</t>
  </si>
  <si>
    <t>ADICCION</t>
  </si>
  <si>
    <t>REDUCC</t>
  </si>
  <si>
    <t>TRASL</t>
  </si>
  <si>
    <t>TOTAL</t>
  </si>
  <si>
    <t>T.ACUMUL</t>
  </si>
  <si>
    <t>DEFINIT</t>
  </si>
  <si>
    <t>COMPRO</t>
  </si>
  <si>
    <t>APROPIA</t>
  </si>
  <si>
    <t>PAGOS VS</t>
  </si>
  <si>
    <t>OBSERVA</t>
  </si>
  <si>
    <t>VIGENTE</t>
  </si>
  <si>
    <t>DEL MES</t>
  </si>
  <si>
    <t>5=2+3+4</t>
  </si>
  <si>
    <t>DEL AÑO</t>
  </si>
  <si>
    <t>7=1+5</t>
  </si>
  <si>
    <t>ACUMUL</t>
  </si>
  <si>
    <t>VS COMPRO</t>
  </si>
  <si>
    <t>VS PAGOS</t>
  </si>
  <si>
    <t>COMPROM</t>
  </si>
  <si>
    <t>CIONES</t>
  </si>
  <si>
    <t>A</t>
  </si>
  <si>
    <t>12=9/7*100</t>
  </si>
  <si>
    <t>13=11/7*100</t>
  </si>
  <si>
    <t>14=11/9*100</t>
  </si>
  <si>
    <t>GASTOS DE FUNCIONAMIENTO</t>
  </si>
  <si>
    <t>AUXILIO DE TRANSPORTE</t>
  </si>
  <si>
    <t>PRIMA DE VACACIONES</t>
  </si>
  <si>
    <t>PRIMA DE NAVIDAD</t>
  </si>
  <si>
    <t xml:space="preserve"> </t>
  </si>
  <si>
    <t>TRANSFERENCIAS CORRIENTES</t>
  </si>
  <si>
    <t>TOTAL GASTOS</t>
  </si>
  <si>
    <t>DISPONIBILIDAD FINAL</t>
  </si>
  <si>
    <t>Representante Legal</t>
  </si>
  <si>
    <t>Jefe de Contabilidad</t>
  </si>
  <si>
    <t>GERMAN SOTO VERGEL</t>
  </si>
  <si>
    <t>PAGO MES ANT</t>
  </si>
  <si>
    <t>PAGO MES</t>
  </si>
  <si>
    <t>ACUM MES ANT</t>
  </si>
  <si>
    <t>EMPRESA : CENTRO DE DIAGNOSTICO AUTOMOTOR DE CUCUTA LTDA. " CEDAC "</t>
  </si>
  <si>
    <t>MES DE</t>
  </si>
  <si>
    <t xml:space="preserve">VIGENCIA </t>
  </si>
  <si>
    <t>PAGOS</t>
  </si>
  <si>
    <r>
      <t xml:space="preserve">                   </t>
    </r>
    <r>
      <rPr>
        <b/>
        <sz val="8"/>
        <rFont val="Arial"/>
        <family val="2"/>
      </rPr>
      <t>DIRECCION GENERAL DE PRESUPUESTO</t>
    </r>
  </si>
  <si>
    <t>Valor en pesos</t>
  </si>
  <si>
    <t>CARLOS HERNANDO RICO RUEDA</t>
  </si>
  <si>
    <t>SENTENCIAS Y CONCILIACIONES</t>
  </si>
  <si>
    <t>CONCILIACIONES</t>
  </si>
  <si>
    <t>ACUM MES ACTUAL</t>
  </si>
  <si>
    <t>DF</t>
  </si>
  <si>
    <t>TG</t>
  </si>
  <si>
    <t>TG+DF</t>
  </si>
  <si>
    <t>GASTOS DE PERSONAL</t>
  </si>
  <si>
    <t>PLANTA DE PERSONAL PERMANENTE</t>
  </si>
  <si>
    <t>SALARIO</t>
  </si>
  <si>
    <t>FACTORES SALARIALES COMUNES</t>
  </si>
  <si>
    <t>SUELDO BÁSICO</t>
  </si>
  <si>
    <t>GASTOS DE REPRESENTACIÓN</t>
  </si>
  <si>
    <t>PRIMA TÉCNICA</t>
  </si>
  <si>
    <t>SUBSIDIO DE ALIMENTACIÓN</t>
  </si>
  <si>
    <t>BONIFICACIÓN POR SERVICIOS PRESTADOS</t>
  </si>
  <si>
    <t>PRIMA DE SERVICIO</t>
  </si>
  <si>
    <t>HORAS EXTRAS DOMINICALES FESTIVOS Y RECARGOS</t>
  </si>
  <si>
    <t>CONTRIBUCIONES INHERENTES A LA NÓMINA</t>
  </si>
  <si>
    <t>APORTES AL SISTEMA GENERAL DE PENSIONES</t>
  </si>
  <si>
    <t>APORTES DE CESANTÍAS</t>
  </si>
  <si>
    <t>APORTES A LAS CAJAS DE COMPENSACIÓN FAMILIAR</t>
  </si>
  <si>
    <t>APORTES AL SISTEMA GENERAL DE RIESGOS LABORALES</t>
  </si>
  <si>
    <t>REMUNERACIONES NO CONSTITUTIVAS DE FACTOR SALARIAL</t>
  </si>
  <si>
    <t>INDEMNIZACIÓN POR VACACIONES</t>
  </si>
  <si>
    <t>BONIFICACIÓN ESPECIAL DE RECREACIÓN</t>
  </si>
  <si>
    <t>ADQUISICIÓN DE BIENES Y SERVICIOS</t>
  </si>
  <si>
    <t>ADQUISICIÓN DE ACTIVOS NO FINANCIEROS</t>
  </si>
  <si>
    <t>ACTIVOS FIJOS</t>
  </si>
  <si>
    <t>MAQUINARIA Y EQUIPO</t>
  </si>
  <si>
    <t>MÁQUINAS HERRAMIENTAS Y SUS PARTES PIEZAS Y ACCESORIOS</t>
  </si>
  <si>
    <t>MÁQUINAS PARA OFICINA Y CONTABILIDAD Y SUS PARTES Y ACCESORIOS</t>
  </si>
  <si>
    <t>MAQUINARIA DE INFORMÁTICA Y SUS PARTES PIEZAS Y ACCESORIOS</t>
  </si>
  <si>
    <t>LÁMPARAS ELÉCTRICAS DE INCANDESCENCIA O DESCARGA LÁMPARAS DE ARCO EQUIPO PARA ALUMBRADO ELÉCTRICO SUS PARTES Y PIEZAS</t>
  </si>
  <si>
    <t>APARATOS TRANSMISORES DE TELEVISIÓN Y RADIO TELEVISIÓN VIDEO Y CÁMARAS DIGITALES TELÉFONOS</t>
  </si>
  <si>
    <t>ADQUISICIONES DIFERENTES DE ACTIVOS</t>
  </si>
  <si>
    <t>PRODUCTOS ALIMENTICIOS BEBIDAS Y TABACO TEXTILES PRENDAS DE VESTIR Y PRODUCTOS DE CUERO</t>
  </si>
  <si>
    <t>AZÚCAR</t>
  </si>
  <si>
    <t>PRODUCTOS DEL CAFÉ</t>
  </si>
  <si>
    <t>DOTACIÓN (PRENDAS DE VESTIR Y CALZADO)</t>
  </si>
  <si>
    <t>OTROS BIENES TRANSPORTABLES (EXCEPTO PRODUCTOS METÁLICOS MAQUINARIA Y EQUIPO)</t>
  </si>
  <si>
    <t>PASTA DE PAPEL PAPEL Y CARTÓN</t>
  </si>
  <si>
    <t>DIARIOS REVISTAS Y PUBLICACIONES PERIÓDICAS PUBLICADOS POR LO MENOS CUATRO VECES POR SEMANA</t>
  </si>
  <si>
    <t>SELLOS CHEQUERAS BILLETES DE BANCO TÍTULOS DE ACCIONES CATÁLOGOS Y FOLLETOS MATERIAL PARA ANUNCIOS PUBLICITARIOS Y OTROS MATERIALES IMPRESOS</t>
  </si>
  <si>
    <t>LIBROS DE REGISTROS LIBROS DE CONTABILIDAD CUADERNILLOS DE NOTAS BLOQUES PARA CARTAS AGENDAS Y ARTÍCULOS SIMILARES SECANTES ENCUADERNADORES CLASIFICADORES PARA ARCHIVOS FORMULARIOS Y OTROS ARTÍCULOS DE ESCRITORIO DE PAPEL O CARTÓN</t>
  </si>
  <si>
    <t>PRODUCTOS QUÍMICOS N.C.P.</t>
  </si>
  <si>
    <t>MUEBLES</t>
  </si>
  <si>
    <t>PRODUCTOS METÁLICOS Y PAQUETES DE SOFTWARE</t>
  </si>
  <si>
    <t>PAQUETES DE SOFTWARE</t>
  </si>
  <si>
    <t>VIATICOS DE LOS FUNCIONARIOS EN COMISION</t>
  </si>
  <si>
    <t>SERVICIOS DE ALOJAMIENTO SERVICIOS DE SUMINISTRO DE COMIDAS Y BEBIDAS SERVICIOS DE TRANSPORTE Y SERVICIOS DE DISTRIBUCIÓN DE ELECTRICIDAD GAS Y AGUA</t>
  </si>
  <si>
    <t>SERVICIOS POSTALES Y DE MENSAJERÍA</t>
  </si>
  <si>
    <t>SERVICIOS DE DISTRIBUCIÓN DE ELECTRICIDAD Y SERVICIOS DE DISTRIBUCIÓN DE GAS (POR CUENTA PROPIA)</t>
  </si>
  <si>
    <t>SERVICIOS FINANCIEROS Y SERVICIOS CONEXOS SERVICIOS INMOBILIARIOS Y SERVICIOS DE LEASING</t>
  </si>
  <si>
    <t>SERVICIOS FINANCIEROS EXCEPTO DE LA BANCA DE INVERSIÓN SERVICIOS DE SEGUROS Y SERVICIOS DE PENSIONES</t>
  </si>
  <si>
    <t>SERVICIOS PRESTADOS A LAS EMPRESAS Y SERVICIOS DE PRODUCCIÓN</t>
  </si>
  <si>
    <t>SERVICIOS DE PUBLICIDAD Y EL SUMINISTRO DE ESPACIO O TIEMPO PUBLICITARIOS</t>
  </si>
  <si>
    <t>SERVICIOS DE TELEFONÍA Y OTRAS TELECOMUNICACIONES</t>
  </si>
  <si>
    <t>SERVICIOS DE TELECOMUNICACIONES A TRAVÉS DE INTERNET</t>
  </si>
  <si>
    <t>SERVICIOS DE PROGRAMACIÓN DISTRIBUCIÓN Y TRANSMISIÓN DE PROGRAMAS</t>
  </si>
  <si>
    <t>SERVICIOS DE MANTENIMIENTO Y REPARACIÓN DE PRODUCTOS METÁLICOS ELABORADOS MAQUINARIA Y EQUIPO</t>
  </si>
  <si>
    <t>SERVICIOS PARA LA COMUNIDAD SOCIALES Y PERSONALES</t>
  </si>
  <si>
    <t>OTROS TIPOS DE EDUCACIÓN Y SERVICIOS DE APOYO EDUCATIVO</t>
  </si>
  <si>
    <t>SERVICIOS DE SALUD HUMANA</t>
  </si>
  <si>
    <t>SERVICIOS DE ALCANTARILLADO SERVICIOS DE LIMPIEZA TRATAMIENTO DE AGUAS RESIDUALES Y TANQUES SÉPTICOS</t>
  </si>
  <si>
    <t>OTROS SERVICIOS DE PROTECCIÓN DEL MEDIO AMBIENTE N.C.P.</t>
  </si>
  <si>
    <t>SERVICIOS DEPORTIVOS Y DEPORTES RECREATIVOS</t>
  </si>
  <si>
    <t>GASTOS POR TRIBUTOS  MULTAS SANCIONES E INTERESES DE MORA</t>
  </si>
  <si>
    <t>IMPUESTOS</t>
  </si>
  <si>
    <t>IMPUESTOS TERRITORIALES</t>
  </si>
  <si>
    <t>IMPUESTO PREDIAL Y SOBRETASA AMBIENTAL</t>
  </si>
  <si>
    <t>IMPUESTO DE INDUSTRIA Y COMERCIO</t>
  </si>
  <si>
    <t>IMPUESTO DE REGISTRO</t>
  </si>
  <si>
    <t>CONTRIBUCIONES</t>
  </si>
  <si>
    <t>CUOTA DE AUDITAJE CONTRALORÍA GENERAL DE LA REPÚBLICA</t>
  </si>
  <si>
    <t>GASTOS DE OPERACIÓN COMERCIAL</t>
  </si>
  <si>
    <t>GASTOS DE COMERCIALIZACIÓN Y PRODUCCIÓN</t>
  </si>
  <si>
    <t>PRODUCTOS QUÍMICOS BÁSICOS DIVERSOS</t>
  </si>
  <si>
    <t>MOTORES Y TURBINAS Y SUS PARTES</t>
  </si>
  <si>
    <t>OTRAS MÁQUINAS PARA USOS GENERALES Y SUS PARTES Y PIEZAS</t>
  </si>
  <si>
    <t>APARATOS DE USO DOMÉSTICO Y SUS PARTES Y PIEZAS</t>
  </si>
  <si>
    <t>DISCOS CINTAS DISPOSITIVOS DE ALMACENAMIENTO EN ESTADO SÓLIDO NO VOLÁTILES Y OTROS MEDIOS NO GRABADOS</t>
  </si>
  <si>
    <t>OTROS SERVICIOS PROFESIONALES Y TÉCNICOS N.C.P.</t>
  </si>
  <si>
    <t>SERVICIOS DE REPARACIÓN DE OTROS BIENES</t>
  </si>
  <si>
    <t>INVERSIÓN</t>
  </si>
  <si>
    <t>TOTAL GASTOS + DISPONIBILIDAD FINAL</t>
  </si>
  <si>
    <t>CODIGO</t>
  </si>
  <si>
    <t>NOMBRE</t>
  </si>
  <si>
    <t>PRESUPUESTO INICIAL</t>
  </si>
  <si>
    <t>PRESUPUESTO  DEFINITIVO</t>
  </si>
  <si>
    <t>A.0.0.0.0.0</t>
  </si>
  <si>
    <t>A.1.0.0.0.0</t>
  </si>
  <si>
    <t>A.1.1.0.0.0</t>
  </si>
  <si>
    <t>A.1.1.1.0.0</t>
  </si>
  <si>
    <t>A.1.1.1.1.0</t>
  </si>
  <si>
    <t>A.1.1.1.1.1</t>
  </si>
  <si>
    <t>A.1.1.1.1.2</t>
  </si>
  <si>
    <t>A.1.1.1.1.3</t>
  </si>
  <si>
    <t>A.1.1.1.1.4</t>
  </si>
  <si>
    <t>A.1.1.1.1.5</t>
  </si>
  <si>
    <t>A.1.1.1.1.6</t>
  </si>
  <si>
    <t>A.1.1.1.1.7</t>
  </si>
  <si>
    <t>A.1.1.1.1.8</t>
  </si>
  <si>
    <t>A.1.1.1.1.9</t>
  </si>
  <si>
    <t>A.1.1.1.1.10</t>
  </si>
  <si>
    <t>A.1.1.1.1.11</t>
  </si>
  <si>
    <t>A.1.1.2.0.0</t>
  </si>
  <si>
    <t>A.1.1.2.1.0</t>
  </si>
  <si>
    <t>A.1.1.2.3.0</t>
  </si>
  <si>
    <t>A.1.1.2.4.0</t>
  </si>
  <si>
    <t>A.1.1.2.5.0</t>
  </si>
  <si>
    <t>A.1.1.3.0.0</t>
  </si>
  <si>
    <t>A.1.1.3.1.2</t>
  </si>
  <si>
    <t>A.1.1.3.1.3</t>
  </si>
  <si>
    <t>A.1.2.0.0.0</t>
  </si>
  <si>
    <t>PERSONAL SUPERNUMERARIO Y PLANTA TEMPORAL</t>
  </si>
  <si>
    <t>A.1.2.1.0.0</t>
  </si>
  <si>
    <t>A.1.2.1.1.0</t>
  </si>
  <si>
    <t>A.1.2.1.1.1</t>
  </si>
  <si>
    <t>A.2.0.0.0.0</t>
  </si>
  <si>
    <t>A.2.1.0.0.0</t>
  </si>
  <si>
    <t>A.2.1.1.0.0</t>
  </si>
  <si>
    <t>A.2.1.1.4.0</t>
  </si>
  <si>
    <t>A.2.1.1.4.42</t>
  </si>
  <si>
    <t>A.2.1.1.4.51</t>
  </si>
  <si>
    <t>A.2.1.1.4.52</t>
  </si>
  <si>
    <t>A.2.1.1.4.65</t>
  </si>
  <si>
    <t>A.2.1.1.4.72</t>
  </si>
  <si>
    <t>A.2.2.0.0.0</t>
  </si>
  <si>
    <t>A.2.2.12.0.0</t>
  </si>
  <si>
    <t>A.2.2.12.35.0</t>
  </si>
  <si>
    <t>A.2.2.12.38.0</t>
  </si>
  <si>
    <t>A.2.2.12.80.0</t>
  </si>
  <si>
    <t>A.2.2.13.0.0</t>
  </si>
  <si>
    <t>A.2.2.13.21.0</t>
  </si>
  <si>
    <t>A.2.2.13.23.0</t>
  </si>
  <si>
    <t>A.2.2.13.26.0</t>
  </si>
  <si>
    <t>A.2.2.13.27.0</t>
  </si>
  <si>
    <t>A.2.2.13.54.0</t>
  </si>
  <si>
    <t>A.2.2.13.81.0</t>
  </si>
  <si>
    <t>A.2.2.14.0.0</t>
  </si>
  <si>
    <t>A.2.2.14.51.0</t>
  </si>
  <si>
    <t>A.2.2.14.52.0</t>
  </si>
  <si>
    <t>A.2.2.16.0.0</t>
  </si>
  <si>
    <t>A.2.2.16.80.0</t>
  </si>
  <si>
    <t>A.2.2.16.91.0</t>
  </si>
  <si>
    <t>A.2.2.17.0.0</t>
  </si>
  <si>
    <t>A.2.2.17.11.0</t>
  </si>
  <si>
    <t>A.2.2.18.0.0</t>
  </si>
  <si>
    <t>A.2.2.18.36.0</t>
  </si>
  <si>
    <t>A.2.2.18.41.0</t>
  </si>
  <si>
    <t>A.2.2.18.42.0</t>
  </si>
  <si>
    <t>A.2.2.18.46.0</t>
  </si>
  <si>
    <t>A.2.2.18.71.0</t>
  </si>
  <si>
    <t>A.2.2.19.0.0</t>
  </si>
  <si>
    <t>A.2.2.19.29.0</t>
  </si>
  <si>
    <t>A.2.2.19.31.0</t>
  </si>
  <si>
    <t>A.2.2.19.41.0</t>
  </si>
  <si>
    <t>A.2.2.19.65.0</t>
  </si>
  <si>
    <t>A.3.0.0.0.0</t>
  </si>
  <si>
    <t>A.3.10.0.0.0</t>
  </si>
  <si>
    <t>A.3.10.2.0.0</t>
  </si>
  <si>
    <t>A.11.0.0.0.0</t>
  </si>
  <si>
    <t>A.11.1.0.0.0</t>
  </si>
  <si>
    <t>A.11.1.2.0.0</t>
  </si>
  <si>
    <t>A.11.1.2.1.0</t>
  </si>
  <si>
    <t>A.11.1.2.3.0</t>
  </si>
  <si>
    <t>A.11.1.2.5.0</t>
  </si>
  <si>
    <t>A.11.4.0.0.0</t>
  </si>
  <si>
    <t>A.11.4.1.0.0</t>
  </si>
  <si>
    <t>B.0.0.0.0.0</t>
  </si>
  <si>
    <t>B.5.0.0.0.0</t>
  </si>
  <si>
    <t>B.5.1.0.0.0</t>
  </si>
  <si>
    <t>B.5.1.13.0.0</t>
  </si>
  <si>
    <t>B.5.1.13.21.0</t>
  </si>
  <si>
    <t>B.5.1.13.23.0</t>
  </si>
  <si>
    <t>B.5.1.13.26.0</t>
  </si>
  <si>
    <t>B.5.1.13.45.0</t>
  </si>
  <si>
    <t>B.5.1.13.81.0</t>
  </si>
  <si>
    <t>B.5.1.14.0.0</t>
  </si>
  <si>
    <t>B.5.1.14.31.0</t>
  </si>
  <si>
    <t>B.5.1.14.39.0</t>
  </si>
  <si>
    <t>B.5.1.14.42.0</t>
  </si>
  <si>
    <t>B.5.1.14.48.0</t>
  </si>
  <si>
    <t>B.5.1.14.52.0</t>
  </si>
  <si>
    <t>B.5.1.14.75.0</t>
  </si>
  <si>
    <t>B.5.1.14.78.0</t>
  </si>
  <si>
    <t>B.5.1.16.0.0</t>
  </si>
  <si>
    <t>B.5.1.16.60.0</t>
  </si>
  <si>
    <t>B.5.1.16.91.0</t>
  </si>
  <si>
    <t>B.5.1.17.0.0</t>
  </si>
  <si>
    <t>B.5.1.17.11.0</t>
  </si>
  <si>
    <t>B.5.1.18.0.0</t>
  </si>
  <si>
    <t>B.5.1.18.36.0</t>
  </si>
  <si>
    <t>B.5.1.18.39.0</t>
  </si>
  <si>
    <t>B.5.1.18.41.0</t>
  </si>
  <si>
    <t>B.5.1.18.42.0</t>
  </si>
  <si>
    <t>B.5.1.18.71.0</t>
  </si>
  <si>
    <t>B.5.1.18.72.0</t>
  </si>
  <si>
    <t>B.5.1.19.0.0</t>
  </si>
  <si>
    <t>B.5.1.19.41.0</t>
  </si>
  <si>
    <t>B.5.1.19.49.0</t>
  </si>
  <si>
    <t>D.0.0.0.0.0</t>
  </si>
  <si>
    <t>D.8.2.0.0.0</t>
  </si>
  <si>
    <t>ADQUISICION DE BIENES Y SERVICIOS</t>
  </si>
  <si>
    <t>D.8.2.1.0.0</t>
  </si>
  <si>
    <t>D.8.2.1.1.0</t>
  </si>
  <si>
    <t>D.8.2.1.1.1</t>
  </si>
  <si>
    <t>EDIFICACIONES Y ESTRUCTURAS</t>
  </si>
  <si>
    <t>DF.0</t>
  </si>
  <si>
    <t>A.2.2.19.49.0</t>
  </si>
  <si>
    <t>SERVICIOS DE ALQUILER DE VEHÍCULOS DE TRANSPORTE CON OPERARIO</t>
  </si>
  <si>
    <t>SERVICIOS DE DISTRIBUCIÓN DE ELECTRICIDAD, Y SERVICIOS DE DISTRIBUCIÓN DE GAS (POR CUENTA PROPIA)</t>
  </si>
  <si>
    <t>DICIEMBRE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</si>
</sst>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&quot;$&quot;\ ###,###,###,##0.00"/>
    <numFmt numFmtId="187" formatCode="#,##0_ ;\-#,##0\ "/>
    <numFmt numFmtId="188" formatCode="_ * #,##0.0_ ;_ * \-#,##0.0_ ;_ * &quot;-&quot;_ ;_ @_ "/>
    <numFmt numFmtId="189" formatCode="_ * #,##0.00_ ;_ * \-#,##0.00_ ;_ * &quot;-&quot;_ ;_ @_ "/>
    <numFmt numFmtId="190" formatCode="#,##0.0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6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81" fontId="0" fillId="0" borderId="0" xfId="49" applyNumberFormat="1" applyFont="1" applyAlignment="1">
      <alignment/>
    </xf>
    <xf numFmtId="0" fontId="3" fillId="0" borderId="10" xfId="0" applyFont="1" applyBorder="1" applyAlignment="1">
      <alignment/>
    </xf>
    <xf numFmtId="181" fontId="3" fillId="0" borderId="10" xfId="49" applyNumberFormat="1" applyFont="1" applyBorder="1" applyAlignment="1">
      <alignment/>
    </xf>
    <xf numFmtId="181" fontId="2" fillId="0" borderId="10" xfId="49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181" fontId="3" fillId="0" borderId="0" xfId="49" applyNumberFormat="1" applyFont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/>
    </xf>
    <xf numFmtId="181" fontId="2" fillId="0" borderId="0" xfId="49" applyNumberFormat="1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3" xfId="0" applyFont="1" applyBorder="1" applyAlignment="1">
      <alignment/>
    </xf>
    <xf numFmtId="181" fontId="2" fillId="0" borderId="14" xfId="49" applyNumberFormat="1" applyFont="1" applyBorder="1" applyAlignment="1">
      <alignment horizontal="center"/>
    </xf>
    <xf numFmtId="181" fontId="2" fillId="0" borderId="15" xfId="49" applyNumberFormat="1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81" fontId="2" fillId="0" borderId="22" xfId="49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0" xfId="0" applyFill="1" applyAlignment="1">
      <alignment/>
    </xf>
    <xf numFmtId="181" fontId="2" fillId="0" borderId="23" xfId="49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0" fillId="0" borderId="0" xfId="49" applyNumberFormat="1" applyFont="1" applyAlignment="1">
      <alignment/>
    </xf>
    <xf numFmtId="181" fontId="3" fillId="0" borderId="16" xfId="49" applyNumberFormat="1" applyFont="1" applyBorder="1" applyAlignment="1">
      <alignment/>
    </xf>
    <xf numFmtId="181" fontId="2" fillId="0" borderId="25" xfId="49" applyNumberFormat="1" applyFont="1" applyBorder="1" applyAlignment="1">
      <alignment horizontal="center"/>
    </xf>
    <xf numFmtId="181" fontId="2" fillId="0" borderId="26" xfId="49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0" borderId="2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181" fontId="1" fillId="0" borderId="0" xfId="49" applyNumberFormat="1" applyFont="1" applyBorder="1" applyAlignment="1">
      <alignment/>
    </xf>
    <xf numFmtId="187" fontId="1" fillId="0" borderId="0" xfId="49" applyNumberFormat="1" applyFont="1" applyBorder="1" applyAlignment="1">
      <alignment/>
    </xf>
    <xf numFmtId="181" fontId="0" fillId="0" borderId="0" xfId="49" applyNumberFormat="1" applyFont="1" applyBorder="1" applyAlignment="1">
      <alignment/>
    </xf>
    <xf numFmtId="181" fontId="3" fillId="0" borderId="0" xfId="49" applyNumberFormat="1" applyFont="1" applyBorder="1" applyAlignment="1">
      <alignment/>
    </xf>
    <xf numFmtId="187" fontId="0" fillId="0" borderId="0" xfId="49" applyNumberFormat="1" applyFont="1" applyBorder="1" applyAlignment="1">
      <alignment/>
    </xf>
    <xf numFmtId="181" fontId="0" fillId="0" borderId="0" xfId="49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81" fontId="2" fillId="0" borderId="24" xfId="49" applyNumberFormat="1" applyFont="1" applyBorder="1" applyAlignment="1">
      <alignment/>
    </xf>
    <xf numFmtId="181" fontId="3" fillId="0" borderId="24" xfId="49" applyNumberFormat="1" applyFont="1" applyBorder="1" applyAlignment="1">
      <alignment/>
    </xf>
    <xf numFmtId="0" fontId="0" fillId="0" borderId="0" xfId="0" applyBorder="1" applyAlignment="1">
      <alignment/>
    </xf>
    <xf numFmtId="181" fontId="0" fillId="0" borderId="0" xfId="49" applyNumberFormat="1" applyFont="1" applyBorder="1" applyAlignment="1">
      <alignment/>
    </xf>
    <xf numFmtId="0" fontId="0" fillId="0" borderId="12" xfId="0" applyBorder="1" applyAlignment="1">
      <alignment/>
    </xf>
    <xf numFmtId="181" fontId="3" fillId="0" borderId="0" xfId="49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/>
    </xf>
    <xf numFmtId="181" fontId="0" fillId="0" borderId="29" xfId="49" applyNumberFormat="1" applyFont="1" applyBorder="1" applyAlignment="1">
      <alignment/>
    </xf>
    <xf numFmtId="181" fontId="1" fillId="0" borderId="29" xfId="49" applyNumberFormat="1" applyFont="1" applyBorder="1" applyAlignment="1">
      <alignment/>
    </xf>
    <xf numFmtId="0" fontId="0" fillId="0" borderId="30" xfId="0" applyBorder="1" applyAlignment="1">
      <alignment/>
    </xf>
    <xf numFmtId="187" fontId="2" fillId="0" borderId="0" xfId="49" applyNumberFormat="1" applyFont="1" applyBorder="1" applyAlignment="1">
      <alignment/>
    </xf>
    <xf numFmtId="187" fontId="3" fillId="0" borderId="0" xfId="49" applyNumberFormat="1" applyFont="1" applyBorder="1" applyAlignment="1">
      <alignment/>
    </xf>
    <xf numFmtId="181" fontId="2" fillId="0" borderId="0" xfId="49" applyNumberFormat="1" applyFont="1" applyBorder="1" applyAlignment="1">
      <alignment/>
    </xf>
    <xf numFmtId="187" fontId="3" fillId="0" borderId="0" xfId="49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81" fontId="1" fillId="0" borderId="0" xfId="0" applyNumberFormat="1" applyFont="1" applyBorder="1" applyAlignment="1">
      <alignment/>
    </xf>
    <xf numFmtId="0" fontId="47" fillId="0" borderId="23" xfId="0" applyFont="1" applyBorder="1" applyAlignment="1">
      <alignment horizontal="right" vertical="center" wrapText="1" readingOrder="1"/>
    </xf>
    <xf numFmtId="0" fontId="0" fillId="0" borderId="23" xfId="0" applyFont="1" applyBorder="1" applyAlignment="1">
      <alignment/>
    </xf>
    <xf numFmtId="181" fontId="2" fillId="0" borderId="23" xfId="49" applyNumberFormat="1" applyFont="1" applyBorder="1" applyAlignment="1">
      <alignment/>
    </xf>
    <xf numFmtId="181" fontId="1" fillId="0" borderId="23" xfId="49" applyNumberFormat="1" applyFont="1" applyBorder="1" applyAlignment="1">
      <alignment/>
    </xf>
    <xf numFmtId="181" fontId="0" fillId="0" borderId="10" xfId="49" applyNumberFormat="1" applyFont="1" applyBorder="1" applyAlignment="1">
      <alignment/>
    </xf>
    <xf numFmtId="49" fontId="48" fillId="0" borderId="24" xfId="0" applyNumberFormat="1" applyFont="1" applyBorder="1" applyAlignment="1">
      <alignment vertical="center" wrapText="1" shrinkToFit="1" readingOrder="1"/>
    </xf>
    <xf numFmtId="49" fontId="49" fillId="0" borderId="24" xfId="0" applyNumberFormat="1" applyFont="1" applyBorder="1" applyAlignment="1">
      <alignment vertical="center" wrapText="1" shrinkToFit="1" readingOrder="1"/>
    </xf>
    <xf numFmtId="3" fontId="49" fillId="0" borderId="0" xfId="0" applyNumberFormat="1" applyFont="1" applyBorder="1" applyAlignment="1">
      <alignment horizontal="right" vertical="center" wrapText="1" shrinkToFit="1" readingOrder="1"/>
    </xf>
    <xf numFmtId="181" fontId="3" fillId="0" borderId="0" xfId="49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 horizontal="right" vertical="center" wrapText="1" shrinkToFit="1" readingOrder="1"/>
    </xf>
    <xf numFmtId="4" fontId="49" fillId="0" borderId="0" xfId="0" applyNumberFormat="1" applyFont="1" applyFill="1" applyBorder="1" applyAlignment="1">
      <alignment horizontal="right" vertical="center" wrapText="1" shrinkToFit="1" readingOrder="1"/>
    </xf>
    <xf numFmtId="187" fontId="0" fillId="0" borderId="0" xfId="49" applyNumberFormat="1" applyFont="1" applyFill="1" applyBorder="1" applyAlignment="1">
      <alignment/>
    </xf>
    <xf numFmtId="187" fontId="0" fillId="0" borderId="0" xfId="49" applyNumberFormat="1" applyFont="1" applyFill="1" applyBorder="1" applyAlignment="1">
      <alignment/>
    </xf>
    <xf numFmtId="187" fontId="2" fillId="0" borderId="0" xfId="49" applyNumberFormat="1" applyFont="1" applyFill="1" applyBorder="1" applyAlignment="1">
      <alignment/>
    </xf>
    <xf numFmtId="0" fontId="3" fillId="0" borderId="27" xfId="0" applyFont="1" applyBorder="1" applyAlignment="1">
      <alignment/>
    </xf>
    <xf numFmtId="181" fontId="1" fillId="0" borderId="26" xfId="49" applyNumberFormat="1" applyFont="1" applyBorder="1" applyAlignment="1">
      <alignment/>
    </xf>
    <xf numFmtId="49" fontId="48" fillId="0" borderId="0" xfId="0" applyNumberFormat="1" applyFont="1" applyBorder="1" applyAlignment="1">
      <alignment horizontal="left" vertical="center" wrapText="1" shrinkToFit="1" readingOrder="1"/>
    </xf>
    <xf numFmtId="3" fontId="48" fillId="0" borderId="0" xfId="0" applyNumberFormat="1" applyFont="1" applyBorder="1" applyAlignment="1">
      <alignment vertical="center" wrapText="1" shrinkToFit="1" readingOrder="1"/>
    </xf>
    <xf numFmtId="181" fontId="0" fillId="0" borderId="12" xfId="49" applyNumberFormat="1" applyFont="1" applyBorder="1" applyAlignment="1">
      <alignment/>
    </xf>
    <xf numFmtId="49" fontId="49" fillId="0" borderId="0" xfId="0" applyNumberFormat="1" applyFont="1" applyBorder="1" applyAlignment="1">
      <alignment horizontal="left" vertical="center" wrapText="1" shrinkToFit="1" readingOrder="1"/>
    </xf>
    <xf numFmtId="181" fontId="2" fillId="0" borderId="0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181" fontId="3" fillId="0" borderId="10" xfId="49" applyNumberFormat="1" applyFont="1" applyFill="1" applyBorder="1" applyAlignment="1">
      <alignment/>
    </xf>
    <xf numFmtId="181" fontId="3" fillId="0" borderId="0" xfId="49" applyNumberFormat="1" applyFont="1" applyFill="1" applyAlignment="1">
      <alignment/>
    </xf>
    <xf numFmtId="181" fontId="3" fillId="0" borderId="13" xfId="49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 vertical="center" wrapText="1" shrinkToFit="1" readingOrder="1"/>
    </xf>
    <xf numFmtId="181" fontId="2" fillId="0" borderId="0" xfId="49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4" fontId="3" fillId="0" borderId="0" xfId="49" applyNumberFormat="1" applyFont="1" applyFill="1" applyBorder="1" applyAlignment="1">
      <alignment/>
    </xf>
    <xf numFmtId="181" fontId="3" fillId="0" borderId="0" xfId="49" applyNumberFormat="1" applyFont="1" applyFill="1" applyBorder="1" applyAlignment="1">
      <alignment wrapText="1"/>
    </xf>
    <xf numFmtId="181" fontId="0" fillId="0" borderId="0" xfId="49" applyNumberFormat="1" applyFont="1" applyFill="1" applyBorder="1" applyAlignment="1">
      <alignment/>
    </xf>
    <xf numFmtId="181" fontId="1" fillId="0" borderId="0" xfId="49" applyNumberFormat="1" applyFont="1" applyFill="1" applyBorder="1" applyAlignment="1">
      <alignment/>
    </xf>
    <xf numFmtId="181" fontId="1" fillId="0" borderId="29" xfId="49" applyNumberFormat="1" applyFont="1" applyFill="1" applyBorder="1" applyAlignment="1">
      <alignment/>
    </xf>
    <xf numFmtId="181" fontId="0" fillId="0" borderId="0" xfId="49" applyNumberFormat="1" applyFont="1" applyFill="1" applyAlignment="1">
      <alignment/>
    </xf>
    <xf numFmtId="181" fontId="4" fillId="0" borderId="0" xfId="49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4" fontId="49" fillId="0" borderId="31" xfId="0" applyNumberFormat="1" applyFont="1" applyBorder="1" applyAlignment="1">
      <alignment horizontal="right" vertical="top" wrapText="1" shrinkToFit="1" readingOrder="1"/>
    </xf>
    <xf numFmtId="4" fontId="0" fillId="0" borderId="0" xfId="0" applyNumberFormat="1" applyAlignment="1">
      <alignment/>
    </xf>
    <xf numFmtId="0" fontId="3" fillId="0" borderId="32" xfId="0" applyFont="1" applyBorder="1" applyAlignment="1">
      <alignment/>
    </xf>
    <xf numFmtId="0" fontId="0" fillId="0" borderId="33" xfId="0" applyFont="1" applyBorder="1" applyAlignment="1">
      <alignment/>
    </xf>
    <xf numFmtId="179" fontId="0" fillId="0" borderId="12" xfId="49" applyFont="1" applyBorder="1" applyAlignment="1">
      <alignment/>
    </xf>
    <xf numFmtId="179" fontId="0" fillId="0" borderId="34" xfId="49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34" xfId="0" applyBorder="1" applyAlignment="1">
      <alignment/>
    </xf>
    <xf numFmtId="181" fontId="0" fillId="0" borderId="0" xfId="49" applyNumberFormat="1" applyFont="1" applyFill="1" applyBorder="1" applyAlignment="1">
      <alignment/>
    </xf>
    <xf numFmtId="4" fontId="49" fillId="34" borderId="31" xfId="0" applyNumberFormat="1" applyFont="1" applyFill="1" applyBorder="1" applyAlignment="1">
      <alignment horizontal="right" vertical="top" wrapText="1" shrinkToFit="1" readingOrder="1"/>
    </xf>
    <xf numFmtId="181" fontId="2" fillId="0" borderId="35" xfId="49" applyNumberFormat="1" applyFont="1" applyBorder="1" applyAlignment="1">
      <alignment horizontal="center"/>
    </xf>
    <xf numFmtId="181" fontId="2" fillId="0" borderId="36" xfId="49" applyNumberFormat="1" applyFont="1" applyBorder="1" applyAlignment="1">
      <alignment horizontal="center"/>
    </xf>
    <xf numFmtId="181" fontId="2" fillId="0" borderId="37" xfId="49" applyNumberFormat="1" applyFont="1" applyBorder="1" applyAlignment="1">
      <alignment horizontal="center"/>
    </xf>
    <xf numFmtId="181" fontId="1" fillId="0" borderId="37" xfId="49" applyNumberFormat="1" applyFont="1" applyBorder="1" applyAlignment="1">
      <alignment/>
    </xf>
    <xf numFmtId="181" fontId="2" fillId="0" borderId="38" xfId="49" applyNumberFormat="1" applyFont="1" applyFill="1" applyBorder="1" applyAlignment="1">
      <alignment horizontal="center"/>
    </xf>
    <xf numFmtId="181" fontId="2" fillId="0" borderId="39" xfId="49" applyNumberFormat="1" applyFont="1" applyFill="1" applyBorder="1" applyAlignment="1">
      <alignment horizontal="center"/>
    </xf>
    <xf numFmtId="181" fontId="1" fillId="0" borderId="39" xfId="49" applyNumberFormat="1" applyFont="1" applyFill="1" applyBorder="1" applyAlignment="1">
      <alignment/>
    </xf>
    <xf numFmtId="181" fontId="3" fillId="0" borderId="0" xfId="49" applyNumberFormat="1" applyFont="1" applyFill="1" applyBorder="1" applyAlignment="1">
      <alignment/>
    </xf>
    <xf numFmtId="181" fontId="2" fillId="0" borderId="0" xfId="49" applyNumberFormat="1" applyFont="1" applyFill="1" applyBorder="1" applyAlignment="1">
      <alignment horizontal="center"/>
    </xf>
    <xf numFmtId="181" fontId="0" fillId="0" borderId="0" xfId="49" applyNumberFormat="1" applyFont="1" applyFill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137</xdr:row>
      <xdr:rowOff>0</xdr:rowOff>
    </xdr:from>
    <xdr:to>
      <xdr:col>14</xdr:col>
      <xdr:colOff>209550</xdr:colOff>
      <xdr:row>141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2098" r="37002" b="1"/>
        <a:stretch>
          <a:fillRect/>
        </a:stretch>
      </xdr:blipFill>
      <xdr:spPr>
        <a:xfrm>
          <a:off x="0" y="39890700"/>
          <a:ext cx="10896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VAR%20DISCO%20AGO%202017\A%20%20INFORMES\INFORMES%20CONFIS%20MIN%20HACIENDA\INFORMES%20CONFIS%202020\EJECUCION%202020%20MENSUAL%20ALCANCE\EJECUCION%20ACUMULADA%202020\EJEC.%20A%20CUM%20A%20AGOSTO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ALVAR%20DISCO%20AGO%202017\A%20%20INFORMES\INFORMES%20CONFIS%20MIN%20HACIENDA\INFORMES%20CONFIS%202020\1A%20EJECUCION%202020%20MENSUAL%20ALCANCE\EJECUCION%20ACUMULADA%202020\EJEC.%20A%20CUM%20A%20AGOSTO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ALVAR%20DISCO%20AGO%202017\A%20%20INFORMES\INFORMES%20CONFIS%20MIN%20HACIENDA\INFORMES%20CONFIS%202020\1A%20EJECUCION%202020%20MENSUAL%20ALCANCE\EJECUCION%20ACUMULADA%202020\12%20EJEC%20CONSOLIDADA%20DICIEMBRE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131">
          <cell r="G13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91">
          <cell r="H91">
            <v>0</v>
          </cell>
        </row>
        <row r="131">
          <cell r="H13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</sheetNames>
    <sheetDataSet>
      <sheetData sheetId="0">
        <row r="16">
          <cell r="L16">
            <v>34774546</v>
          </cell>
          <cell r="R16">
            <v>34774546</v>
          </cell>
        </row>
        <row r="17">
          <cell r="L17">
            <v>632979</v>
          </cell>
          <cell r="R17">
            <v>632979</v>
          </cell>
        </row>
        <row r="18">
          <cell r="L18">
            <v>1758275</v>
          </cell>
          <cell r="R18">
            <v>1758275</v>
          </cell>
        </row>
        <row r="19">
          <cell r="L19">
            <v>925372</v>
          </cell>
          <cell r="R19">
            <v>925372</v>
          </cell>
        </row>
        <row r="20">
          <cell r="L20">
            <v>1437551</v>
          </cell>
          <cell r="R20">
            <v>1437551</v>
          </cell>
        </row>
        <row r="21">
          <cell r="L21">
            <v>0</v>
          </cell>
          <cell r="R21">
            <v>0</v>
          </cell>
        </row>
        <row r="22">
          <cell r="L22">
            <v>0</v>
          </cell>
          <cell r="R22">
            <v>0</v>
          </cell>
        </row>
        <row r="23">
          <cell r="L23">
            <v>1952982</v>
          </cell>
          <cell r="R23">
            <v>1952982</v>
          </cell>
        </row>
        <row r="24">
          <cell r="L24">
            <v>0</v>
          </cell>
          <cell r="R24">
            <v>0</v>
          </cell>
        </row>
        <row r="25">
          <cell r="L25">
            <v>0</v>
          </cell>
          <cell r="R25">
            <v>0</v>
          </cell>
        </row>
        <row r="26">
          <cell r="L26">
            <v>499982</v>
          </cell>
          <cell r="R26">
            <v>499982</v>
          </cell>
        </row>
        <row r="28">
          <cell r="L28">
            <v>8763721</v>
          </cell>
          <cell r="R28">
            <v>4658630</v>
          </cell>
        </row>
        <row r="29">
          <cell r="L29">
            <v>49464104</v>
          </cell>
          <cell r="R29">
            <v>5814227</v>
          </cell>
        </row>
        <row r="30">
          <cell r="L30">
            <v>3039000</v>
          </cell>
          <cell r="R30">
            <v>1554300</v>
          </cell>
        </row>
        <row r="31">
          <cell r="L31">
            <v>1851500</v>
          </cell>
          <cell r="R31">
            <v>946100</v>
          </cell>
        </row>
        <row r="33">
          <cell r="L33">
            <v>0</v>
          </cell>
          <cell r="R33">
            <v>0</v>
          </cell>
        </row>
        <row r="34">
          <cell r="L34">
            <v>0</v>
          </cell>
          <cell r="R34">
            <v>0</v>
          </cell>
        </row>
        <row r="38">
          <cell r="L38">
            <v>-2262500</v>
          </cell>
          <cell r="R38">
            <v>28894100</v>
          </cell>
        </row>
        <row r="42">
          <cell r="L42">
            <v>0</v>
          </cell>
          <cell r="R42">
            <v>0</v>
          </cell>
        </row>
        <row r="43">
          <cell r="L43">
            <v>0</v>
          </cell>
          <cell r="R43">
            <v>0</v>
          </cell>
        </row>
        <row r="44">
          <cell r="L44">
            <v>5000000</v>
          </cell>
          <cell r="R44">
            <v>5000000</v>
          </cell>
        </row>
        <row r="46">
          <cell r="L46">
            <v>6000000</v>
          </cell>
          <cell r="R46">
            <v>0</v>
          </cell>
        </row>
        <row r="50">
          <cell r="L50">
            <v>0</v>
          </cell>
          <cell r="R50">
            <v>0</v>
          </cell>
        </row>
        <row r="51">
          <cell r="L51">
            <v>0</v>
          </cell>
          <cell r="R51">
            <v>0</v>
          </cell>
        </row>
        <row r="52">
          <cell r="L52">
            <v>0</v>
          </cell>
          <cell r="R52">
            <v>0</v>
          </cell>
        </row>
        <row r="53">
          <cell r="L53">
            <v>0</v>
          </cell>
          <cell r="R53">
            <v>0</v>
          </cell>
        </row>
        <row r="54">
          <cell r="L54">
            <v>0</v>
          </cell>
          <cell r="R54">
            <v>0</v>
          </cell>
        </row>
        <row r="58">
          <cell r="L58">
            <v>0</v>
          </cell>
          <cell r="R58">
            <v>0</v>
          </cell>
        </row>
        <row r="59">
          <cell r="L59">
            <v>0</v>
          </cell>
          <cell r="R59">
            <v>0</v>
          </cell>
        </row>
        <row r="60">
          <cell r="L60">
            <v>0</v>
          </cell>
          <cell r="R60">
            <v>0</v>
          </cell>
        </row>
        <row r="62">
          <cell r="L62">
            <v>38261</v>
          </cell>
          <cell r="R62">
            <v>1998261</v>
          </cell>
        </row>
        <row r="63">
          <cell r="L63">
            <v>0</v>
          </cell>
          <cell r="R63">
            <v>0</v>
          </cell>
        </row>
        <row r="64">
          <cell r="L64">
            <v>120000</v>
          </cell>
          <cell r="R64">
            <v>9036000</v>
          </cell>
        </row>
        <row r="65">
          <cell r="L65">
            <v>0</v>
          </cell>
          <cell r="R65">
            <v>0</v>
          </cell>
        </row>
        <row r="66">
          <cell r="L66">
            <v>0</v>
          </cell>
          <cell r="R66">
            <v>0</v>
          </cell>
        </row>
        <row r="67">
          <cell r="L67">
            <v>0</v>
          </cell>
          <cell r="R67">
            <v>0</v>
          </cell>
        </row>
        <row r="69">
          <cell r="L69">
            <v>0</v>
          </cell>
          <cell r="R69">
            <v>0</v>
          </cell>
        </row>
        <row r="70">
          <cell r="L70">
            <v>0</v>
          </cell>
          <cell r="R70">
            <v>401000</v>
          </cell>
        </row>
        <row r="72">
          <cell r="L72">
            <v>327994</v>
          </cell>
          <cell r="R72">
            <v>327994</v>
          </cell>
        </row>
        <row r="73">
          <cell r="L73">
            <v>0</v>
          </cell>
          <cell r="R73">
            <v>0</v>
          </cell>
        </row>
        <row r="75">
          <cell r="L75">
            <v>0</v>
          </cell>
          <cell r="R75">
            <v>0</v>
          </cell>
        </row>
        <row r="77">
          <cell r="L77">
            <v>0</v>
          </cell>
          <cell r="R77">
            <v>0</v>
          </cell>
        </row>
        <row r="78">
          <cell r="L78">
            <v>0</v>
          </cell>
          <cell r="R78">
            <v>0</v>
          </cell>
        </row>
        <row r="79">
          <cell r="L79">
            <v>0</v>
          </cell>
          <cell r="R79">
            <v>0</v>
          </cell>
        </row>
        <row r="80">
          <cell r="L80">
            <v>0</v>
          </cell>
          <cell r="R80">
            <v>0</v>
          </cell>
        </row>
        <row r="81">
          <cell r="L81">
            <v>0</v>
          </cell>
          <cell r="R81">
            <v>0</v>
          </cell>
        </row>
        <row r="83">
          <cell r="L83">
            <v>0</v>
          </cell>
          <cell r="R83">
            <v>0</v>
          </cell>
        </row>
        <row r="84">
          <cell r="L84">
            <v>11670701</v>
          </cell>
          <cell r="R84">
            <v>11670701</v>
          </cell>
        </row>
        <row r="85">
          <cell r="L85">
            <v>0</v>
          </cell>
          <cell r="R85">
            <v>0</v>
          </cell>
        </row>
        <row r="86">
          <cell r="L86">
            <v>0</v>
          </cell>
          <cell r="R86">
            <v>0</v>
          </cell>
        </row>
        <row r="87">
          <cell r="L87">
            <v>9616000</v>
          </cell>
          <cell r="R87">
            <v>9616000</v>
          </cell>
        </row>
        <row r="90">
          <cell r="L90">
            <v>0</v>
          </cell>
          <cell r="R90">
            <v>0</v>
          </cell>
        </row>
        <row r="95">
          <cell r="L95">
            <v>2862220</v>
          </cell>
          <cell r="R95">
            <v>2862220</v>
          </cell>
        </row>
        <row r="96">
          <cell r="L96">
            <v>285600</v>
          </cell>
          <cell r="R96">
            <v>4752300</v>
          </cell>
        </row>
        <row r="97">
          <cell r="L97">
            <v>0</v>
          </cell>
          <cell r="R97">
            <v>0</v>
          </cell>
        </row>
        <row r="98">
          <cell r="L98">
            <v>11706633</v>
          </cell>
          <cell r="R98">
            <v>14919335</v>
          </cell>
        </row>
        <row r="99">
          <cell r="L99">
            <v>0</v>
          </cell>
          <cell r="R99">
            <v>0</v>
          </cell>
        </row>
        <row r="101">
          <cell r="L101">
            <v>0</v>
          </cell>
          <cell r="R101">
            <v>0</v>
          </cell>
        </row>
        <row r="102">
          <cell r="L102">
            <v>0</v>
          </cell>
          <cell r="R102">
            <v>0</v>
          </cell>
        </row>
        <row r="103">
          <cell r="L103">
            <v>0</v>
          </cell>
          <cell r="R103">
            <v>0</v>
          </cell>
        </row>
        <row r="104">
          <cell r="L104">
            <v>0</v>
          </cell>
          <cell r="R104">
            <v>0</v>
          </cell>
        </row>
        <row r="105">
          <cell r="L105">
            <v>6500000</v>
          </cell>
          <cell r="R105">
            <v>6500000</v>
          </cell>
        </row>
        <row r="106">
          <cell r="L106">
            <v>0</v>
          </cell>
          <cell r="R106">
            <v>0</v>
          </cell>
        </row>
        <row r="107">
          <cell r="L107">
            <v>0</v>
          </cell>
          <cell r="R107">
            <v>12645763</v>
          </cell>
        </row>
        <row r="109">
          <cell r="L109">
            <v>0</v>
          </cell>
          <cell r="R109">
            <v>12000000</v>
          </cell>
        </row>
        <row r="110">
          <cell r="L110">
            <v>4349640</v>
          </cell>
          <cell r="R110">
            <v>7071640</v>
          </cell>
        </row>
        <row r="112">
          <cell r="L112">
            <v>-1700</v>
          </cell>
          <cell r="R112">
            <v>350000</v>
          </cell>
        </row>
        <row r="114">
          <cell r="L114">
            <v>499959</v>
          </cell>
          <cell r="R114">
            <v>9700000</v>
          </cell>
        </row>
        <row r="115">
          <cell r="L115">
            <v>0</v>
          </cell>
          <cell r="R115">
            <v>55818179</v>
          </cell>
        </row>
        <row r="116">
          <cell r="L116">
            <v>0</v>
          </cell>
          <cell r="R116">
            <v>0</v>
          </cell>
        </row>
        <row r="117">
          <cell r="L117">
            <v>2854182</v>
          </cell>
          <cell r="R117">
            <v>2854182</v>
          </cell>
        </row>
        <row r="118">
          <cell r="L118">
            <v>6000000</v>
          </cell>
          <cell r="R118">
            <v>36909985</v>
          </cell>
        </row>
        <row r="119">
          <cell r="L119">
            <v>0</v>
          </cell>
          <cell r="R119">
            <v>1000000</v>
          </cell>
        </row>
        <row r="121">
          <cell r="L121">
            <v>726560</v>
          </cell>
          <cell r="R121">
            <v>726560</v>
          </cell>
        </row>
        <row r="122">
          <cell r="L122">
            <v>20652704</v>
          </cell>
          <cell r="R122">
            <v>18777516</v>
          </cell>
        </row>
        <row r="127">
          <cell r="L127">
            <v>429583703</v>
          </cell>
          <cell r="R127">
            <v>328119675</v>
          </cell>
        </row>
        <row r="131">
          <cell r="L131">
            <v>621629969</v>
          </cell>
          <cell r="M131">
            <v>3902517551</v>
          </cell>
          <cell r="R131">
            <v>636906355</v>
          </cell>
          <cell r="S131">
            <v>3537969624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3"/>
  <sheetViews>
    <sheetView tabSelected="1" zoomScalePageLayoutView="0" workbookViewId="0" topLeftCell="A1">
      <pane xSplit="5472" ySplit="2352" topLeftCell="C50" activePane="bottomRight" state="split"/>
      <selection pane="topLeft" activeCell="A1" sqref="A1"/>
      <selection pane="topRight" activeCell="K1" sqref="K1:K16384"/>
      <selection pane="bottomLeft" activeCell="A92" sqref="A92:C96"/>
      <selection pane="bottomRight" activeCell="K95" sqref="K95"/>
    </sheetView>
  </sheetViews>
  <sheetFormatPr defaultColWidth="11.421875" defaultRowHeight="12.75"/>
  <cols>
    <col min="1" max="1" width="10.7109375" style="1" customWidth="1"/>
    <col min="2" max="2" width="24.00390625" style="0" customWidth="1"/>
    <col min="3" max="3" width="12.28125" style="0" customWidth="1"/>
    <col min="4" max="4" width="7.28125" style="0" customWidth="1"/>
    <col min="5" max="5" width="6.28125" style="0" customWidth="1"/>
    <col min="6" max="6" width="10.00390625" style="0" customWidth="1"/>
    <col min="7" max="7" width="10.28125" style="0" customWidth="1"/>
    <col min="8" max="8" width="9.8515625" style="0" customWidth="1"/>
    <col min="9" max="9" width="11.421875" style="3" customWidth="1"/>
    <col min="10" max="10" width="12.8515625" style="3" customWidth="1"/>
    <col min="11" max="11" width="14.00390625" style="132" customWidth="1"/>
    <col min="12" max="12" width="12.140625" style="109" customWidth="1"/>
    <col min="13" max="13" width="13.7109375" style="34" customWidth="1"/>
    <col min="14" max="14" width="5.421875" style="0" customWidth="1"/>
    <col min="15" max="15" width="5.00390625" style="0" customWidth="1"/>
    <col min="16" max="16" width="6.28125" style="0" customWidth="1"/>
    <col min="17" max="17" width="7.7109375" style="0" customWidth="1"/>
    <col min="18" max="18" width="16.421875" style="0" customWidth="1"/>
    <col min="19" max="19" width="11.8515625" style="0" bestFit="1" customWidth="1"/>
    <col min="20" max="20" width="15.28125" style="0" customWidth="1"/>
  </cols>
  <sheetData>
    <row r="1" spans="1:17" ht="12.75">
      <c r="A1" s="42" t="s">
        <v>47</v>
      </c>
      <c r="B1" s="4"/>
      <c r="C1" s="4"/>
      <c r="D1" s="4"/>
      <c r="E1" s="4"/>
      <c r="F1" s="4"/>
      <c r="G1" s="4"/>
      <c r="H1" s="38"/>
      <c r="I1" s="5"/>
      <c r="J1" s="6" t="s">
        <v>0</v>
      </c>
      <c r="K1" s="130"/>
      <c r="L1" s="98"/>
      <c r="M1" s="5"/>
      <c r="N1" s="4"/>
      <c r="O1" s="4"/>
      <c r="P1" s="4"/>
      <c r="Q1" s="7"/>
    </row>
    <row r="2" spans="1:17" ht="12.75">
      <c r="A2" s="43" t="s">
        <v>1</v>
      </c>
      <c r="B2" s="8"/>
      <c r="C2" s="8"/>
      <c r="D2" s="8"/>
      <c r="E2" s="8"/>
      <c r="F2" s="8"/>
      <c r="G2" s="8" t="s">
        <v>37</v>
      </c>
      <c r="H2" s="1"/>
      <c r="I2" s="9" t="s">
        <v>51</v>
      </c>
      <c r="J2" s="9"/>
      <c r="K2" s="130"/>
      <c r="L2" s="99"/>
      <c r="M2" s="9"/>
      <c r="N2" s="8"/>
      <c r="O2" s="8"/>
      <c r="P2" s="8"/>
      <c r="Q2" s="10"/>
    </row>
    <row r="3" spans="1:17" ht="12.75">
      <c r="A3" s="133" t="s">
        <v>48</v>
      </c>
      <c r="B3" s="134"/>
      <c r="C3" s="2" t="s">
        <v>266</v>
      </c>
      <c r="D3" s="1" t="s">
        <v>37</v>
      </c>
      <c r="E3" s="8"/>
      <c r="F3" s="8" t="s">
        <v>37</v>
      </c>
      <c r="G3" s="8" t="s">
        <v>37</v>
      </c>
      <c r="H3" s="1"/>
      <c r="I3" s="12" t="s">
        <v>2</v>
      </c>
      <c r="J3" s="9"/>
      <c r="K3" s="130"/>
      <c r="L3" s="99"/>
      <c r="M3" s="9"/>
      <c r="N3" s="8"/>
      <c r="O3" s="8"/>
      <c r="P3" s="8"/>
      <c r="Q3" s="10"/>
    </row>
    <row r="4" spans="1:17" ht="13.5" thickBot="1">
      <c r="A4" s="43" t="s">
        <v>49</v>
      </c>
      <c r="B4" s="8"/>
      <c r="C4" s="11">
        <v>2020</v>
      </c>
      <c r="D4" s="8"/>
      <c r="E4" s="8"/>
      <c r="F4" s="8" t="s">
        <v>37</v>
      </c>
      <c r="G4" s="8"/>
      <c r="H4" s="1"/>
      <c r="I4" s="12" t="s">
        <v>3</v>
      </c>
      <c r="J4" s="9"/>
      <c r="K4" s="130"/>
      <c r="L4" s="99"/>
      <c r="M4" s="9"/>
      <c r="N4" s="8"/>
      <c r="O4" s="31" t="s">
        <v>52</v>
      </c>
      <c r="P4" s="8"/>
      <c r="Q4" s="10"/>
    </row>
    <row r="5" spans="1:17" ht="13.5" thickBot="1">
      <c r="A5" s="44"/>
      <c r="B5" s="13"/>
      <c r="C5" s="14"/>
      <c r="D5" s="15" t="s">
        <v>4</v>
      </c>
      <c r="E5" s="13"/>
      <c r="F5" s="13"/>
      <c r="G5" s="13"/>
      <c r="H5" s="39"/>
      <c r="I5" s="16" t="s">
        <v>5</v>
      </c>
      <c r="J5" s="17" t="s">
        <v>6</v>
      </c>
      <c r="K5" s="130"/>
      <c r="L5" s="100"/>
      <c r="M5" s="35"/>
      <c r="N5" s="135" t="s">
        <v>7</v>
      </c>
      <c r="O5" s="136"/>
      <c r="P5" s="137"/>
      <c r="Q5" s="18"/>
    </row>
    <row r="6" spans="1:17" ht="13.5" thickBot="1">
      <c r="A6" s="45"/>
      <c r="B6" s="19" t="s">
        <v>8</v>
      </c>
      <c r="C6" s="20" t="s">
        <v>5</v>
      </c>
      <c r="D6" s="21" t="s">
        <v>9</v>
      </c>
      <c r="E6" s="21" t="s">
        <v>10</v>
      </c>
      <c r="F6" s="21" t="s">
        <v>11</v>
      </c>
      <c r="G6" s="21" t="s">
        <v>12</v>
      </c>
      <c r="H6" s="40" t="s">
        <v>13</v>
      </c>
      <c r="I6" s="16" t="s">
        <v>14</v>
      </c>
      <c r="J6" s="123" t="s">
        <v>15</v>
      </c>
      <c r="K6" s="131" t="s">
        <v>15</v>
      </c>
      <c r="L6" s="127" t="s">
        <v>50</v>
      </c>
      <c r="M6" s="36" t="s">
        <v>50</v>
      </c>
      <c r="N6" s="22" t="s">
        <v>16</v>
      </c>
      <c r="O6" s="23" t="s">
        <v>16</v>
      </c>
      <c r="P6" s="24" t="s">
        <v>17</v>
      </c>
      <c r="Q6" s="24" t="s">
        <v>18</v>
      </c>
    </row>
    <row r="7" spans="1:17" ht="12.75">
      <c r="A7" s="46"/>
      <c r="B7" s="25"/>
      <c r="C7" s="26" t="s">
        <v>19</v>
      </c>
      <c r="D7" s="27" t="s">
        <v>20</v>
      </c>
      <c r="E7" s="27" t="s">
        <v>20</v>
      </c>
      <c r="F7" s="27" t="s">
        <v>20</v>
      </c>
      <c r="G7" s="27" t="s">
        <v>21</v>
      </c>
      <c r="H7" s="41" t="s">
        <v>22</v>
      </c>
      <c r="I7" s="28" t="s">
        <v>23</v>
      </c>
      <c r="J7" s="124" t="s">
        <v>20</v>
      </c>
      <c r="K7" s="131" t="s">
        <v>24</v>
      </c>
      <c r="L7" s="128" t="s">
        <v>20</v>
      </c>
      <c r="M7" s="37" t="s">
        <v>24</v>
      </c>
      <c r="N7" s="29" t="s">
        <v>25</v>
      </c>
      <c r="O7" s="54" t="s">
        <v>26</v>
      </c>
      <c r="P7" s="30" t="s">
        <v>27</v>
      </c>
      <c r="Q7" s="30" t="s">
        <v>28</v>
      </c>
    </row>
    <row r="8" spans="1:17" ht="10.5" customHeight="1">
      <c r="A8" s="55" t="s">
        <v>29</v>
      </c>
      <c r="B8" s="47"/>
      <c r="C8" s="27">
        <v>1</v>
      </c>
      <c r="D8" s="27">
        <v>2</v>
      </c>
      <c r="E8" s="27">
        <v>3</v>
      </c>
      <c r="F8" s="27">
        <v>4</v>
      </c>
      <c r="G8" s="27">
        <v>5</v>
      </c>
      <c r="H8" s="41">
        <v>6</v>
      </c>
      <c r="I8" s="32">
        <v>7</v>
      </c>
      <c r="J8" s="125">
        <v>8</v>
      </c>
      <c r="K8" s="131">
        <v>9</v>
      </c>
      <c r="L8" s="128">
        <v>10</v>
      </c>
      <c r="M8" s="32">
        <v>11</v>
      </c>
      <c r="N8" s="27" t="s">
        <v>30</v>
      </c>
      <c r="O8" s="27" t="s">
        <v>31</v>
      </c>
      <c r="P8" s="56" t="s">
        <v>32</v>
      </c>
      <c r="Q8" s="114"/>
    </row>
    <row r="9" spans="1:18" ht="15.75" thickBot="1">
      <c r="A9" s="90" t="s">
        <v>139</v>
      </c>
      <c r="B9" s="41" t="s">
        <v>140</v>
      </c>
      <c r="C9" s="76" t="s">
        <v>141</v>
      </c>
      <c r="D9" s="77"/>
      <c r="E9" s="77"/>
      <c r="F9" s="78">
        <v>0</v>
      </c>
      <c r="G9" s="78">
        <v>0</v>
      </c>
      <c r="H9" s="78">
        <v>0</v>
      </c>
      <c r="I9" s="76" t="s">
        <v>142</v>
      </c>
      <c r="J9" s="126">
        <v>0</v>
      </c>
      <c r="K9" s="107">
        <v>0</v>
      </c>
      <c r="L9" s="129">
        <v>0</v>
      </c>
      <c r="M9" s="79">
        <v>0</v>
      </c>
      <c r="N9" s="79">
        <v>0</v>
      </c>
      <c r="O9" s="79">
        <v>0</v>
      </c>
      <c r="P9" s="91">
        <v>0</v>
      </c>
      <c r="Q9" s="115"/>
      <c r="R9" s="33"/>
    </row>
    <row r="10" spans="1:20" ht="12.75">
      <c r="A10" s="81" t="s">
        <v>143</v>
      </c>
      <c r="B10" s="92" t="s">
        <v>33</v>
      </c>
      <c r="C10" s="93">
        <f>+C11+C38+C79+C82</f>
        <v>1300890000</v>
      </c>
      <c r="D10" s="93">
        <f aca="true" t="shared" si="0" ref="D10:M10">+D11+D38+D79+D82</f>
        <v>0</v>
      </c>
      <c r="E10" s="93">
        <f t="shared" si="0"/>
        <v>0</v>
      </c>
      <c r="F10" s="93">
        <f t="shared" si="0"/>
        <v>0</v>
      </c>
      <c r="G10" s="93">
        <f t="shared" si="0"/>
        <v>0</v>
      </c>
      <c r="H10" s="93">
        <f t="shared" si="0"/>
        <v>0</v>
      </c>
      <c r="I10" s="93">
        <f t="shared" si="0"/>
        <v>1300890000</v>
      </c>
      <c r="J10" s="93">
        <f t="shared" si="0"/>
        <v>135610468</v>
      </c>
      <c r="K10" s="101">
        <f t="shared" si="0"/>
        <v>1257158800</v>
      </c>
      <c r="L10" s="101">
        <f t="shared" si="0"/>
        <v>121899000</v>
      </c>
      <c r="M10" s="93">
        <f t="shared" si="0"/>
        <v>1194752647</v>
      </c>
      <c r="N10" s="80">
        <f aca="true" t="shared" si="1" ref="N10:N15">+K10/I10*100</f>
        <v>96.6383629668919</v>
      </c>
      <c r="O10" s="80">
        <f aca="true" t="shared" si="2" ref="O10:O15">+M10/I10*100</f>
        <v>91.84117388864547</v>
      </c>
      <c r="P10" s="94">
        <f>+M10/K10</f>
        <v>0.9503593714652437</v>
      </c>
      <c r="Q10" s="116"/>
      <c r="R10" s="93"/>
      <c r="S10" s="112"/>
      <c r="T10" s="113"/>
    </row>
    <row r="11" spans="1:20" ht="12.75">
      <c r="A11" s="81" t="s">
        <v>144</v>
      </c>
      <c r="B11" s="92" t="s">
        <v>60</v>
      </c>
      <c r="C11" s="70">
        <f>+C12+C34</f>
        <v>941140000</v>
      </c>
      <c r="D11" s="70">
        <f aca="true" t="shared" si="3" ref="D11:M11">+D12+D34</f>
        <v>0</v>
      </c>
      <c r="E11" s="70">
        <f t="shared" si="3"/>
        <v>0</v>
      </c>
      <c r="F11" s="70">
        <f t="shared" si="3"/>
        <v>-23950000</v>
      </c>
      <c r="G11" s="70">
        <f t="shared" si="3"/>
        <v>-23950000</v>
      </c>
      <c r="H11" s="70">
        <f t="shared" si="3"/>
        <v>54397000</v>
      </c>
      <c r="I11" s="70">
        <f t="shared" si="3"/>
        <v>995537000</v>
      </c>
      <c r="J11" s="70">
        <f t="shared" si="3"/>
        <v>102837512</v>
      </c>
      <c r="K11" s="89">
        <f t="shared" si="3"/>
        <v>985173749</v>
      </c>
      <c r="L11" s="89">
        <f t="shared" si="3"/>
        <v>83849044</v>
      </c>
      <c r="M11" s="89">
        <f t="shared" si="3"/>
        <v>929148919</v>
      </c>
      <c r="N11" s="50">
        <f t="shared" si="1"/>
        <v>98.95902904663512</v>
      </c>
      <c r="O11" s="50">
        <f t="shared" si="2"/>
        <v>93.33143007241318</v>
      </c>
      <c r="P11" s="94">
        <f aca="true" t="shared" si="4" ref="P11:P74">+M11/K11</f>
        <v>0.9431320312210227</v>
      </c>
      <c r="Q11" s="116"/>
      <c r="R11" s="93"/>
      <c r="S11" s="112"/>
      <c r="T11" s="113"/>
    </row>
    <row r="12" spans="1:20" ht="20.25">
      <c r="A12" s="81" t="s">
        <v>145</v>
      </c>
      <c r="B12" s="92" t="s">
        <v>61</v>
      </c>
      <c r="C12" s="70">
        <f>+C13+C26+C31</f>
        <v>815440000</v>
      </c>
      <c r="D12" s="70">
        <f aca="true" t="shared" si="5" ref="D12:M12">+D13+D26+D31</f>
        <v>0</v>
      </c>
      <c r="E12" s="70">
        <f t="shared" si="5"/>
        <v>0</v>
      </c>
      <c r="F12" s="70">
        <f t="shared" si="5"/>
        <v>1050000</v>
      </c>
      <c r="G12" s="70">
        <f t="shared" si="5"/>
        <v>1050000</v>
      </c>
      <c r="H12" s="70">
        <f t="shared" si="5"/>
        <v>-48755000</v>
      </c>
      <c r="I12" s="70">
        <f t="shared" si="5"/>
        <v>766685000</v>
      </c>
      <c r="J12" s="70">
        <f t="shared" si="5"/>
        <v>105100012</v>
      </c>
      <c r="K12" s="89">
        <f t="shared" si="5"/>
        <v>761827649</v>
      </c>
      <c r="L12" s="89">
        <f t="shared" si="5"/>
        <v>54954944</v>
      </c>
      <c r="M12" s="89">
        <f t="shared" si="5"/>
        <v>705802819</v>
      </c>
      <c r="N12" s="50">
        <f t="shared" si="1"/>
        <v>99.36644762842629</v>
      </c>
      <c r="O12" s="50">
        <f t="shared" si="2"/>
        <v>92.05903584914273</v>
      </c>
      <c r="P12" s="94">
        <f t="shared" si="4"/>
        <v>0.9264599675877608</v>
      </c>
      <c r="Q12" s="116"/>
      <c r="R12" s="93"/>
      <c r="S12" s="112"/>
      <c r="T12" s="113"/>
    </row>
    <row r="13" spans="1:20" ht="12.75">
      <c r="A13" s="81" t="s">
        <v>146</v>
      </c>
      <c r="B13" s="92" t="s">
        <v>62</v>
      </c>
      <c r="C13" s="70">
        <f>+C14</f>
        <v>638478000</v>
      </c>
      <c r="D13" s="70">
        <f aca="true" t="shared" si="6" ref="D13:M13">+D14</f>
        <v>0</v>
      </c>
      <c r="E13" s="89">
        <f t="shared" si="6"/>
        <v>0</v>
      </c>
      <c r="F13" s="89">
        <f t="shared" si="6"/>
        <v>0</v>
      </c>
      <c r="G13" s="70">
        <f t="shared" si="6"/>
        <v>0</v>
      </c>
      <c r="H13" s="70">
        <f t="shared" si="6"/>
        <v>-30680000</v>
      </c>
      <c r="I13" s="70">
        <f t="shared" si="6"/>
        <v>607798000</v>
      </c>
      <c r="J13" s="70">
        <f t="shared" si="6"/>
        <v>41981687</v>
      </c>
      <c r="K13" s="89">
        <f t="shared" si="6"/>
        <v>605015927</v>
      </c>
      <c r="L13" s="89">
        <f t="shared" si="6"/>
        <v>41981687</v>
      </c>
      <c r="M13" s="89">
        <f t="shared" si="6"/>
        <v>604950592</v>
      </c>
      <c r="N13" s="50">
        <f t="shared" si="1"/>
        <v>99.54227012922057</v>
      </c>
      <c r="O13" s="50">
        <f t="shared" si="2"/>
        <v>99.53152066969618</v>
      </c>
      <c r="P13" s="94">
        <f t="shared" si="4"/>
        <v>0.9998920111073374</v>
      </c>
      <c r="Q13" s="116"/>
      <c r="R13" s="93"/>
      <c r="S13" s="112"/>
      <c r="T13" s="113"/>
    </row>
    <row r="14" spans="1:20" ht="20.25">
      <c r="A14" s="81" t="s">
        <v>147</v>
      </c>
      <c r="B14" s="92" t="s">
        <v>63</v>
      </c>
      <c r="C14" s="70">
        <f>SUM(C15:C25)</f>
        <v>638478000</v>
      </c>
      <c r="D14" s="70">
        <f aca="true" t="shared" si="7" ref="D14:M14">SUM(D15:D25)</f>
        <v>0</v>
      </c>
      <c r="E14" s="89">
        <f t="shared" si="7"/>
        <v>0</v>
      </c>
      <c r="F14" s="89">
        <f t="shared" si="7"/>
        <v>0</v>
      </c>
      <c r="G14" s="70">
        <f t="shared" si="7"/>
        <v>0</v>
      </c>
      <c r="H14" s="70">
        <f t="shared" si="7"/>
        <v>-30680000</v>
      </c>
      <c r="I14" s="70">
        <f t="shared" si="7"/>
        <v>607798000</v>
      </c>
      <c r="J14" s="70">
        <f t="shared" si="7"/>
        <v>41981687</v>
      </c>
      <c r="K14" s="89">
        <f t="shared" si="7"/>
        <v>605015927</v>
      </c>
      <c r="L14" s="89">
        <f t="shared" si="7"/>
        <v>41981687</v>
      </c>
      <c r="M14" s="89">
        <f t="shared" si="7"/>
        <v>604950592</v>
      </c>
      <c r="N14" s="50">
        <f t="shared" si="1"/>
        <v>99.54227012922057</v>
      </c>
      <c r="O14" s="50">
        <f t="shared" si="2"/>
        <v>99.53152066969618</v>
      </c>
      <c r="P14" s="94">
        <f t="shared" si="4"/>
        <v>0.9998920111073374</v>
      </c>
      <c r="Q14" s="116"/>
      <c r="R14" s="93"/>
      <c r="S14" s="112"/>
      <c r="T14" s="113"/>
    </row>
    <row r="15" spans="1:20" ht="12.75">
      <c r="A15" s="82" t="s">
        <v>148</v>
      </c>
      <c r="B15" s="95" t="s">
        <v>64</v>
      </c>
      <c r="C15" s="71">
        <v>428904000</v>
      </c>
      <c r="D15" s="87">
        <v>0</v>
      </c>
      <c r="E15" s="87">
        <v>0</v>
      </c>
      <c r="F15" s="73">
        <v>850000</v>
      </c>
      <c r="G15" s="73">
        <f>+D15+E15+F15</f>
        <v>850000</v>
      </c>
      <c r="H15" s="73">
        <f>-14478000+850000</f>
        <v>-13628000</v>
      </c>
      <c r="I15" s="71">
        <f aca="true" t="shared" si="8" ref="I15:I25">+C15+H15</f>
        <v>415276000</v>
      </c>
      <c r="J15" s="73">
        <f>+'[3]Informe'!$L16</f>
        <v>34774546</v>
      </c>
      <c r="K15" s="73">
        <f>33358072+33277146+34774546+34774546+34774546+34774546+34774546+38763389+31671880+34774546+34774546+34774546</f>
        <v>415266855</v>
      </c>
      <c r="L15" s="73">
        <f>+'[3]Informe'!$R16</f>
        <v>34774546</v>
      </c>
      <c r="M15" s="73">
        <f>33358072+33277146+34774546+34774546+34774546+34774546+34774546+38763389+31671880+34774546+34774546+34774546</f>
        <v>415266855</v>
      </c>
      <c r="N15" s="50">
        <f t="shared" si="1"/>
        <v>99.9977978501045</v>
      </c>
      <c r="O15" s="50">
        <f t="shared" si="2"/>
        <v>99.9977978501045</v>
      </c>
      <c r="P15" s="94">
        <f t="shared" si="4"/>
        <v>1</v>
      </c>
      <c r="Q15" s="116"/>
      <c r="R15" s="93"/>
      <c r="S15" s="112"/>
      <c r="T15" s="113"/>
    </row>
    <row r="16" spans="1:20" ht="12.75">
      <c r="A16" s="82" t="s">
        <v>149</v>
      </c>
      <c r="B16" s="95" t="s">
        <v>65</v>
      </c>
      <c r="C16" s="71">
        <v>9685000</v>
      </c>
      <c r="D16" s="87">
        <v>0</v>
      </c>
      <c r="E16" s="87">
        <v>0</v>
      </c>
      <c r="F16" s="73">
        <v>0</v>
      </c>
      <c r="G16" s="73">
        <f aca="true" t="shared" si="9" ref="G16:G25">+D16+E16+F16</f>
        <v>0</v>
      </c>
      <c r="H16" s="73">
        <v>-1986000</v>
      </c>
      <c r="I16" s="71">
        <f t="shared" si="8"/>
        <v>7699000</v>
      </c>
      <c r="J16" s="73">
        <f>+'[3]Informe'!$L17</f>
        <v>632979</v>
      </c>
      <c r="K16" s="73">
        <f>653466+653466+653466+653466+653466+581761+581760+632979+632979+632979+632979+632979</f>
        <v>7595746</v>
      </c>
      <c r="L16" s="73">
        <f>+'[3]Informe'!$R17</f>
        <v>632979</v>
      </c>
      <c r="M16" s="73">
        <f>653466+653466+653466+653466+653466+581761+581760+632979+632979+632979+632979+632979</f>
        <v>7595746</v>
      </c>
      <c r="N16" s="50">
        <f aca="true" t="shared" si="10" ref="N16:N22">+K16/I16*100</f>
        <v>98.65886478763476</v>
      </c>
      <c r="O16" s="50">
        <f aca="true" t="shared" si="11" ref="O16:O22">+M16/I16*100</f>
        <v>98.65886478763476</v>
      </c>
      <c r="P16" s="94">
        <f t="shared" si="4"/>
        <v>1</v>
      </c>
      <c r="Q16" s="116"/>
      <c r="R16" s="93"/>
      <c r="S16" s="112"/>
      <c r="T16" s="113"/>
    </row>
    <row r="17" spans="1:20" ht="12.75">
      <c r="A17" s="82" t="s">
        <v>150</v>
      </c>
      <c r="B17" s="95" t="s">
        <v>66</v>
      </c>
      <c r="C17" s="71">
        <v>26903000</v>
      </c>
      <c r="D17" s="87">
        <v>0</v>
      </c>
      <c r="E17" s="87">
        <v>0</v>
      </c>
      <c r="F17" s="73">
        <v>0</v>
      </c>
      <c r="G17" s="73">
        <f t="shared" si="9"/>
        <v>0</v>
      </c>
      <c r="H17" s="73">
        <v>-5519000</v>
      </c>
      <c r="I17" s="71">
        <f t="shared" si="8"/>
        <v>21384000</v>
      </c>
      <c r="J17" s="73">
        <f>+'[3]Informe'!$L18</f>
        <v>1758275</v>
      </c>
      <c r="K17" s="73">
        <f>1815182+1815182+1815182+1815182+1815182+1616007+1616007+1758275+1758275+1758275+1758275+1758275</f>
        <v>21099299</v>
      </c>
      <c r="L17" s="73">
        <f>+'[3]Informe'!$R18</f>
        <v>1758275</v>
      </c>
      <c r="M17" s="73">
        <f>1815182+1815182+1815182+1815182+1815182+1616007+1616007+1758275+1758275+1758275+1758275+1758275</f>
        <v>21099299</v>
      </c>
      <c r="N17" s="50">
        <f t="shared" si="10"/>
        <v>98.66862607557051</v>
      </c>
      <c r="O17" s="50">
        <f t="shared" si="11"/>
        <v>98.66862607557051</v>
      </c>
      <c r="P17" s="94">
        <f t="shared" si="4"/>
        <v>1</v>
      </c>
      <c r="Q17" s="116"/>
      <c r="R17" s="93"/>
      <c r="S17" s="112"/>
      <c r="T17" s="113"/>
    </row>
    <row r="18" spans="1:20" ht="12.75">
      <c r="A18" s="82" t="s">
        <v>151</v>
      </c>
      <c r="B18" s="95" t="s">
        <v>67</v>
      </c>
      <c r="C18" s="71">
        <v>10863000</v>
      </c>
      <c r="D18" s="87">
        <v>0</v>
      </c>
      <c r="E18" s="87">
        <v>0</v>
      </c>
      <c r="F18" s="73">
        <v>0</v>
      </c>
      <c r="G18" s="73">
        <f t="shared" si="9"/>
        <v>0</v>
      </c>
      <c r="H18" s="73">
        <v>250000</v>
      </c>
      <c r="I18" s="71">
        <f t="shared" si="8"/>
        <v>11113000</v>
      </c>
      <c r="J18" s="73">
        <f>+'[3]Informe'!$L19</f>
        <v>925372</v>
      </c>
      <c r="K18" s="73">
        <f>832075+855141+880292+880292+880292+1147552+925372+1066258+784363+925372+925372+925372</f>
        <v>11027753</v>
      </c>
      <c r="L18" s="73">
        <f>+'[3]Informe'!$R19</f>
        <v>925372</v>
      </c>
      <c r="M18" s="73">
        <f>832075+855141+880292+880292+880292+1147552+925372+1066258+784363+925372+925372+925372</f>
        <v>11027753</v>
      </c>
      <c r="N18" s="50">
        <f t="shared" si="10"/>
        <v>99.23290740574102</v>
      </c>
      <c r="O18" s="50">
        <f t="shared" si="11"/>
        <v>99.23290740574102</v>
      </c>
      <c r="P18" s="94">
        <f t="shared" si="4"/>
        <v>1</v>
      </c>
      <c r="Q18" s="116"/>
      <c r="R18" s="93"/>
      <c r="S18" s="112"/>
      <c r="T18" s="113"/>
    </row>
    <row r="19" spans="1:20" ht="12.75">
      <c r="A19" s="82" t="s">
        <v>152</v>
      </c>
      <c r="B19" s="95" t="s">
        <v>34</v>
      </c>
      <c r="C19" s="71">
        <v>17304000</v>
      </c>
      <c r="D19" s="87">
        <v>0</v>
      </c>
      <c r="E19" s="87">
        <v>0</v>
      </c>
      <c r="F19" s="73">
        <v>0</v>
      </c>
      <c r="G19" s="73">
        <f t="shared" si="9"/>
        <v>0</v>
      </c>
      <c r="H19" s="73">
        <v>-147000</v>
      </c>
      <c r="I19" s="71">
        <f t="shared" si="8"/>
        <v>17157000</v>
      </c>
      <c r="J19" s="73">
        <f>+'[3]Informe'!$L20</f>
        <v>1437551</v>
      </c>
      <c r="K19" s="73">
        <f>1357646+1398814+1439956+1439956+1439956+1439956+1439956+1662763+1220534+1439956+1439956+1437551</f>
        <v>17157000</v>
      </c>
      <c r="L19" s="73">
        <f>+'[3]Informe'!$R20</f>
        <v>1437551</v>
      </c>
      <c r="M19" s="73">
        <f>1357646+1398814+1439956+1439956+1439956+1439956+1439956+1662763+1220534+1439956+1439956+1437551</f>
        <v>17157000</v>
      </c>
      <c r="N19" s="50">
        <f t="shared" si="10"/>
        <v>100</v>
      </c>
      <c r="O19" s="50">
        <f t="shared" si="11"/>
        <v>100</v>
      </c>
      <c r="P19" s="94">
        <f t="shared" si="4"/>
        <v>1</v>
      </c>
      <c r="Q19" s="116"/>
      <c r="R19" s="93"/>
      <c r="S19" s="112"/>
      <c r="T19" s="113"/>
    </row>
    <row r="20" spans="1:20" ht="20.25">
      <c r="A20" s="82" t="s">
        <v>153</v>
      </c>
      <c r="B20" s="95" t="s">
        <v>68</v>
      </c>
      <c r="C20" s="71">
        <v>17075000</v>
      </c>
      <c r="D20" s="87">
        <v>0</v>
      </c>
      <c r="E20" s="87">
        <v>0</v>
      </c>
      <c r="F20" s="73">
        <v>-2730000</v>
      </c>
      <c r="G20" s="73">
        <f t="shared" si="9"/>
        <v>-2730000</v>
      </c>
      <c r="H20" s="73">
        <f>339000-2730000</f>
        <v>-2391000</v>
      </c>
      <c r="I20" s="71">
        <f t="shared" si="8"/>
        <v>14684000</v>
      </c>
      <c r="J20" s="73">
        <f>+'[3]Informe'!$L21</f>
        <v>0</v>
      </c>
      <c r="K20" s="73">
        <f>1491250+1872850+5937232+847500+1589367+2945393</f>
        <v>14683592</v>
      </c>
      <c r="L20" s="73">
        <f>+'[3]Informe'!$R21</f>
        <v>0</v>
      </c>
      <c r="M20" s="73">
        <f>1491250+1872850+5937232+847500+794700+3740060</f>
        <v>14683592</v>
      </c>
      <c r="N20" s="50">
        <f t="shared" si="10"/>
        <v>99.99722146554072</v>
      </c>
      <c r="O20" s="50">
        <f t="shared" si="11"/>
        <v>99.99722146554072</v>
      </c>
      <c r="P20" s="94">
        <f t="shared" si="4"/>
        <v>1</v>
      </c>
      <c r="Q20" s="116"/>
      <c r="R20" s="93"/>
      <c r="S20" s="112"/>
      <c r="T20" s="113"/>
    </row>
    <row r="21" spans="1:20" ht="12.75">
      <c r="A21" s="82" t="s">
        <v>154</v>
      </c>
      <c r="B21" s="95" t="s">
        <v>69</v>
      </c>
      <c r="C21" s="71">
        <v>42561000</v>
      </c>
      <c r="D21" s="87">
        <v>0</v>
      </c>
      <c r="E21" s="87">
        <v>0</v>
      </c>
      <c r="F21" s="73">
        <v>0</v>
      </c>
      <c r="G21" s="73">
        <f t="shared" si="9"/>
        <v>0</v>
      </c>
      <c r="H21" s="73">
        <v>-6755000</v>
      </c>
      <c r="I21" s="71">
        <f t="shared" si="8"/>
        <v>35806000</v>
      </c>
      <c r="J21" s="73">
        <f>+'[3]Informe'!$L22</f>
        <v>0</v>
      </c>
      <c r="K21" s="73">
        <f>35805400</f>
        <v>35805400</v>
      </c>
      <c r="L21" s="73">
        <f>+'[3]Informe'!$R22</f>
        <v>0</v>
      </c>
      <c r="M21" s="73">
        <f>35805400</f>
        <v>35805400</v>
      </c>
      <c r="N21" s="50">
        <f t="shared" si="10"/>
        <v>99.9983243031894</v>
      </c>
      <c r="O21" s="50">
        <f t="shared" si="11"/>
        <v>99.9983243031894</v>
      </c>
      <c r="P21" s="94">
        <f t="shared" si="4"/>
        <v>1</v>
      </c>
      <c r="Q21" s="116"/>
      <c r="R21" s="93"/>
      <c r="S21" s="112"/>
      <c r="T21" s="113"/>
    </row>
    <row r="22" spans="1:20" ht="20.25">
      <c r="A22" s="82" t="s">
        <v>155</v>
      </c>
      <c r="B22" s="95" t="s">
        <v>70</v>
      </c>
      <c r="C22" s="71">
        <v>10100000</v>
      </c>
      <c r="D22" s="87">
        <v>0</v>
      </c>
      <c r="E22" s="87">
        <v>0</v>
      </c>
      <c r="F22" s="73">
        <v>5200000</v>
      </c>
      <c r="G22" s="73">
        <f t="shared" si="9"/>
        <v>5200000</v>
      </c>
      <c r="H22" s="73">
        <f>1000000+5200000</f>
        <v>6200000</v>
      </c>
      <c r="I22" s="71">
        <f t="shared" si="8"/>
        <v>16300000</v>
      </c>
      <c r="J22" s="73">
        <f>+'[3]Informe'!$L23</f>
        <v>1952982</v>
      </c>
      <c r="K22" s="73">
        <f>1342600+787900+1176931+3079990+1237752+890480+2570356+1656580+1952982</f>
        <v>14695571</v>
      </c>
      <c r="L22" s="73">
        <f>+'[3]Informe'!$R23</f>
        <v>1952982</v>
      </c>
      <c r="M22" s="71">
        <f>1342600+787900+1176931+3079990+1237752+890480+2570356+1656580+1952982</f>
        <v>14695571</v>
      </c>
      <c r="N22" s="50">
        <f t="shared" si="10"/>
        <v>90.15687730061349</v>
      </c>
      <c r="O22" s="50">
        <f t="shared" si="11"/>
        <v>90.15687730061349</v>
      </c>
      <c r="P22" s="94">
        <f t="shared" si="4"/>
        <v>1</v>
      </c>
      <c r="Q22" s="116"/>
      <c r="R22" s="93"/>
      <c r="S22" s="112"/>
      <c r="T22" s="113"/>
    </row>
    <row r="23" spans="1:20" ht="12.75">
      <c r="A23" s="82" t="s">
        <v>156</v>
      </c>
      <c r="B23" s="95" t="s">
        <v>36</v>
      </c>
      <c r="C23" s="71">
        <v>48029000</v>
      </c>
      <c r="D23" s="88">
        <v>0</v>
      </c>
      <c r="E23" s="87">
        <v>0</v>
      </c>
      <c r="F23" s="73">
        <v>-1100000</v>
      </c>
      <c r="G23" s="73">
        <f t="shared" si="9"/>
        <v>-1100000</v>
      </c>
      <c r="H23" s="73">
        <f>-1835000-1100000</f>
        <v>-2935000</v>
      </c>
      <c r="I23" s="71">
        <f t="shared" si="8"/>
        <v>45094000</v>
      </c>
      <c r="J23" s="73">
        <f>+'[3]Informe'!$L24</f>
        <v>0</v>
      </c>
      <c r="K23" s="73">
        <v>45085900</v>
      </c>
      <c r="L23" s="73">
        <f>+'[3]Informe'!$R24</f>
        <v>0</v>
      </c>
      <c r="M23" s="71">
        <v>45085900</v>
      </c>
      <c r="N23" s="50">
        <f aca="true" t="shared" si="12" ref="N23:N40">+K23/I23*100</f>
        <v>99.9820375216215</v>
      </c>
      <c r="O23" s="50">
        <f aca="true" t="shared" si="13" ref="O23:O41">+M23/I23*100</f>
        <v>99.9820375216215</v>
      </c>
      <c r="P23" s="94">
        <f t="shared" si="4"/>
        <v>1</v>
      </c>
      <c r="Q23" s="116"/>
      <c r="R23" s="93"/>
      <c r="S23" s="112"/>
      <c r="T23" s="113"/>
    </row>
    <row r="24" spans="1:20" ht="12.75">
      <c r="A24" s="82" t="s">
        <v>157</v>
      </c>
      <c r="B24" s="95" t="s">
        <v>35</v>
      </c>
      <c r="C24" s="71">
        <v>23054000</v>
      </c>
      <c r="D24" s="52">
        <v>0</v>
      </c>
      <c r="E24" s="87">
        <v>0</v>
      </c>
      <c r="F24" s="73">
        <v>-2220000</v>
      </c>
      <c r="G24" s="71">
        <f t="shared" si="9"/>
        <v>-2220000</v>
      </c>
      <c r="H24" s="71">
        <f>509000-2220000</f>
        <v>-1711000</v>
      </c>
      <c r="I24" s="71">
        <f t="shared" si="8"/>
        <v>21343000</v>
      </c>
      <c r="J24" s="73">
        <f>+'[3]Informe'!$L25</f>
        <v>0</v>
      </c>
      <c r="K24" s="73">
        <f>2142275+3842600+7435306+1047760+1976241+4713382</f>
        <v>21157564</v>
      </c>
      <c r="L24" s="73">
        <f>+'[3]Informe'!$R25</f>
        <v>0</v>
      </c>
      <c r="M24" s="71">
        <f>2142275+3842600+7435306+1047760+988100+5701523</f>
        <v>21157564</v>
      </c>
      <c r="N24" s="50">
        <f t="shared" si="12"/>
        <v>99.13116244201846</v>
      </c>
      <c r="O24" s="50">
        <f t="shared" si="13"/>
        <v>99.13116244201846</v>
      </c>
      <c r="P24" s="94">
        <f t="shared" si="4"/>
        <v>1</v>
      </c>
      <c r="Q24" s="116"/>
      <c r="R24" s="93"/>
      <c r="S24" s="112"/>
      <c r="T24" s="113"/>
    </row>
    <row r="25" spans="1:20" ht="20.25">
      <c r="A25" s="82" t="s">
        <v>158</v>
      </c>
      <c r="B25" s="95" t="s">
        <v>102</v>
      </c>
      <c r="C25" s="51">
        <v>4000000</v>
      </c>
      <c r="D25" s="53">
        <v>0</v>
      </c>
      <c r="E25" s="53">
        <v>0</v>
      </c>
      <c r="F25" s="51">
        <v>0</v>
      </c>
      <c r="G25" s="71">
        <f t="shared" si="9"/>
        <v>0</v>
      </c>
      <c r="H25" s="51">
        <f>-1058000-1000000</f>
        <v>-2058000</v>
      </c>
      <c r="I25" s="71">
        <f t="shared" si="8"/>
        <v>1942000</v>
      </c>
      <c r="J25" s="73">
        <f>+'[3]Informe'!$L26</f>
        <v>499982</v>
      </c>
      <c r="K25" s="73">
        <f>941265+499982</f>
        <v>1441247</v>
      </c>
      <c r="L25" s="73">
        <f>+'[3]Informe'!$R26</f>
        <v>499982</v>
      </c>
      <c r="M25" s="71">
        <f>941265-65335+499982</f>
        <v>1375912</v>
      </c>
      <c r="N25" s="50">
        <f t="shared" si="12"/>
        <v>74.21457260556127</v>
      </c>
      <c r="O25" s="50">
        <f t="shared" si="13"/>
        <v>70.85025746652936</v>
      </c>
      <c r="P25" s="94">
        <f t="shared" si="4"/>
        <v>0.9546677287099297</v>
      </c>
      <c r="Q25" s="116"/>
      <c r="R25" s="93"/>
      <c r="S25" s="112"/>
      <c r="T25" s="113"/>
    </row>
    <row r="26" spans="1:20" ht="20.25">
      <c r="A26" s="81" t="s">
        <v>159</v>
      </c>
      <c r="B26" s="92" t="s">
        <v>71</v>
      </c>
      <c r="C26" s="70">
        <f>SUM(C27:C30)</f>
        <v>151888000</v>
      </c>
      <c r="D26" s="70">
        <f aca="true" t="shared" si="14" ref="D26:M26">SUM(D27:D30)</f>
        <v>0</v>
      </c>
      <c r="E26" s="70">
        <f t="shared" si="14"/>
        <v>0</v>
      </c>
      <c r="F26" s="70">
        <f t="shared" si="14"/>
        <v>0</v>
      </c>
      <c r="G26" s="70">
        <f t="shared" si="14"/>
        <v>0</v>
      </c>
      <c r="H26" s="70">
        <f t="shared" si="14"/>
        <v>-19125000</v>
      </c>
      <c r="I26" s="70">
        <f t="shared" si="14"/>
        <v>132763000</v>
      </c>
      <c r="J26" s="70">
        <f t="shared" si="14"/>
        <v>63118325</v>
      </c>
      <c r="K26" s="89">
        <f t="shared" si="14"/>
        <v>131458131</v>
      </c>
      <c r="L26" s="89">
        <f t="shared" si="14"/>
        <v>12973257</v>
      </c>
      <c r="M26" s="70">
        <f t="shared" si="14"/>
        <v>75498636</v>
      </c>
      <c r="N26" s="50">
        <f t="shared" si="12"/>
        <v>99.01714408381854</v>
      </c>
      <c r="O26" s="50">
        <f t="shared" si="13"/>
        <v>56.86722656161732</v>
      </c>
      <c r="P26" s="94">
        <f t="shared" si="4"/>
        <v>0.5743169739724963</v>
      </c>
      <c r="Q26" s="116"/>
      <c r="R26" s="93"/>
      <c r="S26" s="112"/>
      <c r="T26" s="113"/>
    </row>
    <row r="27" spans="1:20" ht="20.25">
      <c r="A27" s="82" t="s">
        <v>160</v>
      </c>
      <c r="B27" s="95" t="s">
        <v>72</v>
      </c>
      <c r="C27" s="51">
        <v>58594000</v>
      </c>
      <c r="D27" s="53">
        <v>0</v>
      </c>
      <c r="E27" s="53">
        <v>0</v>
      </c>
      <c r="F27" s="51">
        <v>0</v>
      </c>
      <c r="G27" s="71">
        <f aca="true" t="shared" si="15" ref="G27:G33">+D27+E27+F27</f>
        <v>0</v>
      </c>
      <c r="H27" s="51">
        <v>-11696000</v>
      </c>
      <c r="I27" s="71">
        <f>+C27+H27</f>
        <v>46898000</v>
      </c>
      <c r="J27" s="73">
        <f>+'[3]Informe'!$L28</f>
        <v>8763721</v>
      </c>
      <c r="K27" s="73">
        <f>4172121+4532097+4564404+1677592+4577901+4806527+4608759+4567168+4627510+8763721</f>
        <v>46897800</v>
      </c>
      <c r="L27" s="73">
        <f>+'[3]Informe'!$R28</f>
        <v>4658630</v>
      </c>
      <c r="M27" s="71">
        <f>4172121+4532097+4564404+1677392+4577901+4806527+4608759+4567168+4627510+4658630</f>
        <v>42792509</v>
      </c>
      <c r="N27" s="50">
        <f t="shared" si="12"/>
        <v>99.99957354258177</v>
      </c>
      <c r="O27" s="50">
        <f t="shared" si="13"/>
        <v>91.24591453793339</v>
      </c>
      <c r="P27" s="94">
        <f t="shared" si="4"/>
        <v>0.9124630366456422</v>
      </c>
      <c r="Q27" s="116"/>
      <c r="R27" s="93"/>
      <c r="S27" s="112"/>
      <c r="T27" s="113"/>
    </row>
    <row r="28" spans="1:20" ht="12.75">
      <c r="A28" s="82" t="s">
        <v>161</v>
      </c>
      <c r="B28" s="95" t="s">
        <v>73</v>
      </c>
      <c r="C28" s="51">
        <v>58809000</v>
      </c>
      <c r="D28" s="53">
        <v>0</v>
      </c>
      <c r="E28" s="53">
        <v>0</v>
      </c>
      <c r="F28" s="51">
        <v>0</v>
      </c>
      <c r="G28" s="71">
        <f t="shared" si="15"/>
        <v>0</v>
      </c>
      <c r="H28" s="51">
        <v>-2226000</v>
      </c>
      <c r="I28" s="71">
        <f>+C28+H28</f>
        <v>56583000</v>
      </c>
      <c r="J28" s="73">
        <f>+'[3]Informe'!$L29</f>
        <v>49464104</v>
      </c>
      <c r="K28" s="73">
        <f>5814227+49464104</f>
        <v>55278331</v>
      </c>
      <c r="L28" s="73">
        <f>+'[3]Informe'!$R29</f>
        <v>5814227</v>
      </c>
      <c r="M28" s="71">
        <v>5814227</v>
      </c>
      <c r="N28" s="50">
        <f t="shared" si="12"/>
        <v>97.69423855221532</v>
      </c>
      <c r="O28" s="50">
        <f t="shared" si="13"/>
        <v>10.275572168319107</v>
      </c>
      <c r="P28" s="94">
        <f t="shared" si="4"/>
        <v>0.10518094332479032</v>
      </c>
      <c r="Q28" s="116"/>
      <c r="R28" s="93"/>
      <c r="S28" s="112"/>
      <c r="T28" s="113"/>
    </row>
    <row r="29" spans="1:20" ht="20.25">
      <c r="A29" s="82" t="s">
        <v>162</v>
      </c>
      <c r="B29" s="95" t="s">
        <v>74</v>
      </c>
      <c r="C29" s="51">
        <v>22590000</v>
      </c>
      <c r="D29" s="53">
        <v>0</v>
      </c>
      <c r="E29" s="53">
        <v>0</v>
      </c>
      <c r="F29" s="51">
        <v>0</v>
      </c>
      <c r="G29" s="71">
        <f t="shared" si="15"/>
        <v>0</v>
      </c>
      <c r="H29" s="51">
        <v>-4393000</v>
      </c>
      <c r="I29" s="71">
        <f>+C29+H29</f>
        <v>18197000</v>
      </c>
      <c r="J29" s="73">
        <f>+'[3]Informe'!$L30</f>
        <v>3039000</v>
      </c>
      <c r="K29" s="73">
        <f>1393100+1513200+1538600+2981000+1526700+1602900+1537400+1523300+1541800+3039000</f>
        <v>18197000</v>
      </c>
      <c r="L29" s="73">
        <f>+'[3]Informe'!$R30</f>
        <v>1554300</v>
      </c>
      <c r="M29" s="71">
        <f>1393100+1513200+1538600+2981000+1526700+1602900+1537400+1523300+1541800+1554300</f>
        <v>16712300</v>
      </c>
      <c r="N29" s="50">
        <f t="shared" si="12"/>
        <v>100</v>
      </c>
      <c r="O29" s="50">
        <f t="shared" si="13"/>
        <v>91.84096279606528</v>
      </c>
      <c r="P29" s="94">
        <f t="shared" si="4"/>
        <v>0.9184096279606528</v>
      </c>
      <c r="Q29" s="116"/>
      <c r="R29" s="93"/>
      <c r="S29" s="112"/>
      <c r="T29" s="113"/>
    </row>
    <row r="30" spans="1:20" ht="20.25">
      <c r="A30" s="82" t="s">
        <v>163</v>
      </c>
      <c r="B30" s="95" t="s">
        <v>75</v>
      </c>
      <c r="C30" s="51">
        <v>11895000</v>
      </c>
      <c r="D30" s="53">
        <v>0</v>
      </c>
      <c r="E30" s="53">
        <v>0</v>
      </c>
      <c r="F30" s="51">
        <v>0</v>
      </c>
      <c r="G30" s="71">
        <f t="shared" si="15"/>
        <v>0</v>
      </c>
      <c r="H30" s="51">
        <v>-810000</v>
      </c>
      <c r="I30" s="71">
        <f>+C30+H30</f>
        <v>11085000</v>
      </c>
      <c r="J30" s="73">
        <f>+'[3]Informe'!$L31</f>
        <v>1851500</v>
      </c>
      <c r="K30" s="73">
        <f>848700+921700+937200+1816600+930500+976500+936000+927800+938500+1851500</f>
        <v>11085000</v>
      </c>
      <c r="L30" s="73">
        <f>+'[3]Informe'!$R31</f>
        <v>946100</v>
      </c>
      <c r="M30" s="71">
        <f>848700+921700+937200+1816600+930500+976500+936000+927800+938500+946100</f>
        <v>10179600</v>
      </c>
      <c r="N30" s="50">
        <f t="shared" si="12"/>
        <v>100</v>
      </c>
      <c r="O30" s="50">
        <f t="shared" si="13"/>
        <v>91.83220568335588</v>
      </c>
      <c r="P30" s="94">
        <f t="shared" si="4"/>
        <v>0.9183220568335588</v>
      </c>
      <c r="Q30" s="116"/>
      <c r="R30" s="93"/>
      <c r="S30" s="112"/>
      <c r="T30" s="113"/>
    </row>
    <row r="31" spans="1:20" ht="30">
      <c r="A31" s="81" t="s">
        <v>164</v>
      </c>
      <c r="B31" s="92" t="s">
        <v>76</v>
      </c>
      <c r="C31" s="70">
        <f>SUM(C32:C33)</f>
        <v>25074000</v>
      </c>
      <c r="D31" s="70">
        <f aca="true" t="shared" si="16" ref="D31:M31">SUM(D32:D33)</f>
        <v>0</v>
      </c>
      <c r="E31" s="70">
        <f t="shared" si="16"/>
        <v>0</v>
      </c>
      <c r="F31" s="70">
        <f t="shared" si="16"/>
        <v>1050000</v>
      </c>
      <c r="G31" s="70">
        <f t="shared" si="16"/>
        <v>1050000</v>
      </c>
      <c r="H31" s="70">
        <f t="shared" si="16"/>
        <v>1050000</v>
      </c>
      <c r="I31" s="70">
        <f t="shared" si="16"/>
        <v>26124000</v>
      </c>
      <c r="J31" s="70">
        <f t="shared" si="16"/>
        <v>0</v>
      </c>
      <c r="K31" s="89">
        <f t="shared" si="16"/>
        <v>25353591</v>
      </c>
      <c r="L31" s="89">
        <f t="shared" si="16"/>
        <v>0</v>
      </c>
      <c r="M31" s="70">
        <f t="shared" si="16"/>
        <v>25353591</v>
      </c>
      <c r="N31" s="50">
        <f t="shared" si="12"/>
        <v>97.05095314653192</v>
      </c>
      <c r="O31" s="50">
        <f t="shared" si="13"/>
        <v>97.05095314653192</v>
      </c>
      <c r="P31" s="94">
        <f t="shared" si="4"/>
        <v>1</v>
      </c>
      <c r="Q31" s="116"/>
      <c r="R31" s="93"/>
      <c r="S31" s="112"/>
      <c r="T31" s="113"/>
    </row>
    <row r="32" spans="1:20" ht="12.75">
      <c r="A32" s="82" t="s">
        <v>165</v>
      </c>
      <c r="B32" s="95" t="s">
        <v>77</v>
      </c>
      <c r="C32" s="51">
        <v>22000000</v>
      </c>
      <c r="D32" s="53">
        <v>0</v>
      </c>
      <c r="E32" s="53">
        <v>0</v>
      </c>
      <c r="F32" s="51">
        <v>1050000</v>
      </c>
      <c r="G32" s="71">
        <f t="shared" si="15"/>
        <v>1050000</v>
      </c>
      <c r="H32" s="51">
        <v>1050000</v>
      </c>
      <c r="I32" s="71">
        <f>+C32+H32</f>
        <v>23050000</v>
      </c>
      <c r="J32" s="73">
        <f>+'[3]Informe'!$L33</f>
        <v>0</v>
      </c>
      <c r="K32" s="73">
        <f>1079936+5517200+5597113+1466840+2766797+6598735</f>
        <v>23026621</v>
      </c>
      <c r="L32" s="73">
        <f>+'[3]Informe'!$R33</f>
        <v>0</v>
      </c>
      <c r="M32" s="71">
        <f>1079936+5517200+5597113+1466840+1383400+7982132</f>
        <v>23026621</v>
      </c>
      <c r="N32" s="50">
        <f t="shared" si="12"/>
        <v>99.89857266811279</v>
      </c>
      <c r="O32" s="50">
        <f t="shared" si="13"/>
        <v>99.89857266811279</v>
      </c>
      <c r="P32" s="94">
        <f t="shared" si="4"/>
        <v>1</v>
      </c>
      <c r="Q32" s="116"/>
      <c r="R32" s="93"/>
      <c r="S32" s="112"/>
      <c r="T32" s="113"/>
    </row>
    <row r="33" spans="1:20" ht="20.25">
      <c r="A33" s="82" t="s">
        <v>166</v>
      </c>
      <c r="B33" s="95" t="s">
        <v>78</v>
      </c>
      <c r="C33" s="51">
        <v>3074000</v>
      </c>
      <c r="D33" s="53">
        <v>0</v>
      </c>
      <c r="E33" s="53">
        <v>0</v>
      </c>
      <c r="F33" s="51">
        <v>0</v>
      </c>
      <c r="G33" s="71">
        <f t="shared" si="15"/>
        <v>0</v>
      </c>
      <c r="H33" s="51">
        <v>0</v>
      </c>
      <c r="I33" s="71">
        <f>+C33+H33</f>
        <v>3074000</v>
      </c>
      <c r="J33" s="73">
        <f>+'[3]Informe'!$L34</f>
        <v>0</v>
      </c>
      <c r="K33" s="73">
        <f>250502+356650+833833+113000+211995+560990</f>
        <v>2326970</v>
      </c>
      <c r="L33" s="73">
        <f>+'[3]Informe'!$R34</f>
        <v>0</v>
      </c>
      <c r="M33" s="71">
        <f>250502+356650+833833+113000+106000+666985</f>
        <v>2326970</v>
      </c>
      <c r="N33" s="50">
        <f t="shared" si="12"/>
        <v>75.69843851659076</v>
      </c>
      <c r="O33" s="50">
        <f t="shared" si="13"/>
        <v>75.69843851659076</v>
      </c>
      <c r="P33" s="94">
        <f t="shared" si="4"/>
        <v>1</v>
      </c>
      <c r="Q33" s="116"/>
      <c r="R33" s="93"/>
      <c r="S33" s="112"/>
      <c r="T33" s="113"/>
    </row>
    <row r="34" spans="1:20" ht="20.25">
      <c r="A34" s="81" t="s">
        <v>167</v>
      </c>
      <c r="B34" s="92" t="s">
        <v>168</v>
      </c>
      <c r="C34" s="70">
        <f>+C35</f>
        <v>125700000</v>
      </c>
      <c r="D34" s="70">
        <f aca="true" t="shared" si="17" ref="D34:M36">+D35</f>
        <v>0</v>
      </c>
      <c r="E34" s="70">
        <f t="shared" si="17"/>
        <v>0</v>
      </c>
      <c r="F34" s="70">
        <f t="shared" si="17"/>
        <v>-25000000</v>
      </c>
      <c r="G34" s="70">
        <f t="shared" si="17"/>
        <v>-25000000</v>
      </c>
      <c r="H34" s="70">
        <f t="shared" si="17"/>
        <v>103152000</v>
      </c>
      <c r="I34" s="70">
        <f t="shared" si="17"/>
        <v>228852000</v>
      </c>
      <c r="J34" s="70">
        <f t="shared" si="17"/>
        <v>-2262500</v>
      </c>
      <c r="K34" s="89">
        <f t="shared" si="17"/>
        <v>223346100</v>
      </c>
      <c r="L34" s="89">
        <f t="shared" si="17"/>
        <v>28894100</v>
      </c>
      <c r="M34" s="70">
        <f t="shared" si="17"/>
        <v>223346100</v>
      </c>
      <c r="N34" s="50">
        <f t="shared" si="12"/>
        <v>97.5941219652876</v>
      </c>
      <c r="O34" s="50">
        <f t="shared" si="13"/>
        <v>97.5941219652876</v>
      </c>
      <c r="P34" s="94">
        <f t="shared" si="4"/>
        <v>1</v>
      </c>
      <c r="Q34" s="116"/>
      <c r="R34" s="93"/>
      <c r="S34" s="112"/>
      <c r="T34" s="113"/>
    </row>
    <row r="35" spans="1:20" ht="12.75">
      <c r="A35" s="81" t="s">
        <v>169</v>
      </c>
      <c r="B35" s="92" t="s">
        <v>62</v>
      </c>
      <c r="C35" s="70">
        <f>+C36</f>
        <v>125700000</v>
      </c>
      <c r="D35" s="70">
        <f t="shared" si="17"/>
        <v>0</v>
      </c>
      <c r="E35" s="70">
        <f t="shared" si="17"/>
        <v>0</v>
      </c>
      <c r="F35" s="70">
        <f t="shared" si="17"/>
        <v>-25000000</v>
      </c>
      <c r="G35" s="70">
        <f t="shared" si="17"/>
        <v>-25000000</v>
      </c>
      <c r="H35" s="70">
        <f t="shared" si="17"/>
        <v>103152000</v>
      </c>
      <c r="I35" s="70">
        <f t="shared" si="17"/>
        <v>228852000</v>
      </c>
      <c r="J35" s="70">
        <f t="shared" si="17"/>
        <v>-2262500</v>
      </c>
      <c r="K35" s="89">
        <f t="shared" si="17"/>
        <v>223346100</v>
      </c>
      <c r="L35" s="89">
        <f t="shared" si="17"/>
        <v>28894100</v>
      </c>
      <c r="M35" s="70">
        <f t="shared" si="17"/>
        <v>223346100</v>
      </c>
      <c r="N35" s="50">
        <f t="shared" si="12"/>
        <v>97.5941219652876</v>
      </c>
      <c r="O35" s="50">
        <f t="shared" si="13"/>
        <v>97.5941219652876</v>
      </c>
      <c r="P35" s="94">
        <f t="shared" si="4"/>
        <v>1</v>
      </c>
      <c r="Q35" s="116"/>
      <c r="R35" s="93"/>
      <c r="S35" s="112"/>
      <c r="T35" s="113"/>
    </row>
    <row r="36" spans="1:20" ht="20.25">
      <c r="A36" s="81" t="s">
        <v>170</v>
      </c>
      <c r="B36" s="92" t="s">
        <v>63</v>
      </c>
      <c r="C36" s="70">
        <f>+C37</f>
        <v>125700000</v>
      </c>
      <c r="D36" s="70">
        <f t="shared" si="17"/>
        <v>0</v>
      </c>
      <c r="E36" s="70">
        <f t="shared" si="17"/>
        <v>0</v>
      </c>
      <c r="F36" s="70">
        <f t="shared" si="17"/>
        <v>-25000000</v>
      </c>
      <c r="G36" s="70">
        <f t="shared" si="17"/>
        <v>-25000000</v>
      </c>
      <c r="H36" s="70">
        <f t="shared" si="17"/>
        <v>103152000</v>
      </c>
      <c r="I36" s="70">
        <f t="shared" si="17"/>
        <v>228852000</v>
      </c>
      <c r="J36" s="70">
        <f t="shared" si="17"/>
        <v>-2262500</v>
      </c>
      <c r="K36" s="89">
        <f t="shared" si="17"/>
        <v>223346100</v>
      </c>
      <c r="L36" s="89">
        <f t="shared" si="17"/>
        <v>28894100</v>
      </c>
      <c r="M36" s="70">
        <f t="shared" si="17"/>
        <v>223346100</v>
      </c>
      <c r="N36" s="50">
        <f t="shared" si="12"/>
        <v>97.5941219652876</v>
      </c>
      <c r="O36" s="50">
        <f t="shared" si="13"/>
        <v>97.5941219652876</v>
      </c>
      <c r="P36" s="94">
        <f t="shared" si="4"/>
        <v>1</v>
      </c>
      <c r="Q36" s="116"/>
      <c r="R36" s="93"/>
      <c r="S36" s="112"/>
      <c r="T36" s="113"/>
    </row>
    <row r="37" spans="1:20" ht="12.75">
      <c r="A37" s="82" t="s">
        <v>171</v>
      </c>
      <c r="B37" s="95" t="s">
        <v>64</v>
      </c>
      <c r="C37" s="51">
        <v>125700000</v>
      </c>
      <c r="D37" s="53">
        <v>0</v>
      </c>
      <c r="E37" s="53">
        <v>0</v>
      </c>
      <c r="F37" s="71">
        <v>-25000000</v>
      </c>
      <c r="G37" s="71">
        <f>+D37+E37+F37</f>
        <v>-25000000</v>
      </c>
      <c r="H37" s="51">
        <f>128152000-25000000</f>
        <v>103152000</v>
      </c>
      <c r="I37" s="71">
        <f>+C37+H37</f>
        <v>228852000</v>
      </c>
      <c r="J37" s="73">
        <f>+'[3]Informe'!$L$38</f>
        <v>-2262500</v>
      </c>
      <c r="K37" s="73">
        <f>36300000+46000000+40502000+2550000+25400000+53500000+18416600+2940000-2262500</f>
        <v>223346100</v>
      </c>
      <c r="L37" s="73">
        <f>+'[3]Informe'!$R$38</f>
        <v>28894100</v>
      </c>
      <c r="M37" s="71">
        <f>2500000+4300000+22502000+16500000+21700000+22750000+24200000+15000000+19000000+27300000+18700000+28894100</f>
        <v>223346100</v>
      </c>
      <c r="N37" s="50">
        <f t="shared" si="12"/>
        <v>97.5941219652876</v>
      </c>
      <c r="O37" s="50">
        <f t="shared" si="13"/>
        <v>97.5941219652876</v>
      </c>
      <c r="P37" s="94">
        <f t="shared" si="4"/>
        <v>1</v>
      </c>
      <c r="Q37" s="116"/>
      <c r="R37" s="93"/>
      <c r="S37" s="112"/>
      <c r="T37" s="113"/>
    </row>
    <row r="38" spans="1:20" ht="20.25">
      <c r="A38" s="81" t="s">
        <v>172</v>
      </c>
      <c r="B38" s="92" t="s">
        <v>79</v>
      </c>
      <c r="C38" s="70">
        <f>+C39+C47</f>
        <v>126000000</v>
      </c>
      <c r="D38" s="70">
        <f aca="true" t="shared" si="18" ref="D38:M38">+D39+D47</f>
        <v>0</v>
      </c>
      <c r="E38" s="70">
        <f t="shared" si="18"/>
        <v>0</v>
      </c>
      <c r="F38" s="70">
        <f t="shared" si="18"/>
        <v>24950000</v>
      </c>
      <c r="G38" s="70">
        <f t="shared" si="18"/>
        <v>24950000</v>
      </c>
      <c r="H38" s="70">
        <f t="shared" si="18"/>
        <v>25815000</v>
      </c>
      <c r="I38" s="70">
        <f t="shared" si="18"/>
        <v>151815000</v>
      </c>
      <c r="J38" s="70">
        <f t="shared" si="18"/>
        <v>21772956</v>
      </c>
      <c r="K38" s="89">
        <f t="shared" si="18"/>
        <v>126379306</v>
      </c>
      <c r="L38" s="89">
        <f t="shared" si="18"/>
        <v>33049956</v>
      </c>
      <c r="M38" s="70">
        <f t="shared" si="18"/>
        <v>125997983</v>
      </c>
      <c r="N38" s="50">
        <f t="shared" si="12"/>
        <v>83.24559891973784</v>
      </c>
      <c r="O38" s="50">
        <f t="shared" si="13"/>
        <v>82.99442281724467</v>
      </c>
      <c r="P38" s="94">
        <f t="shared" si="4"/>
        <v>0.9969827101281914</v>
      </c>
      <c r="Q38" s="116"/>
      <c r="R38" s="93"/>
      <c r="S38" s="112"/>
      <c r="T38" s="113"/>
    </row>
    <row r="39" spans="1:20" ht="20.25">
      <c r="A39" s="81" t="s">
        <v>173</v>
      </c>
      <c r="B39" s="92" t="s">
        <v>80</v>
      </c>
      <c r="C39" s="70">
        <f>+C40</f>
        <v>7900000</v>
      </c>
      <c r="D39" s="70">
        <f aca="true" t="shared" si="19" ref="D39:M40">+D40</f>
        <v>0</v>
      </c>
      <c r="E39" s="70">
        <f t="shared" si="19"/>
        <v>0</v>
      </c>
      <c r="F39" s="70">
        <f t="shared" si="19"/>
        <v>-1600000</v>
      </c>
      <c r="G39" s="70">
        <f t="shared" si="19"/>
        <v>-1600000</v>
      </c>
      <c r="H39" s="70">
        <f t="shared" si="19"/>
        <v>-5254000</v>
      </c>
      <c r="I39" s="70">
        <f t="shared" si="19"/>
        <v>2646000</v>
      </c>
      <c r="J39" s="70">
        <f t="shared" si="19"/>
        <v>0</v>
      </c>
      <c r="K39" s="89">
        <f t="shared" si="19"/>
        <v>2447965</v>
      </c>
      <c r="L39" s="89">
        <f t="shared" si="19"/>
        <v>0</v>
      </c>
      <c r="M39" s="70">
        <f t="shared" si="19"/>
        <v>2447965</v>
      </c>
      <c r="N39" s="50">
        <f t="shared" si="12"/>
        <v>92.51568405139834</v>
      </c>
      <c r="O39" s="50">
        <f t="shared" si="13"/>
        <v>92.51568405139834</v>
      </c>
      <c r="P39" s="94">
        <f t="shared" si="4"/>
        <v>1</v>
      </c>
      <c r="Q39" s="116"/>
      <c r="R39" s="93"/>
      <c r="S39" s="112"/>
      <c r="T39" s="113"/>
    </row>
    <row r="40" spans="1:20" ht="12.75">
      <c r="A40" s="81" t="s">
        <v>174</v>
      </c>
      <c r="B40" s="92" t="s">
        <v>81</v>
      </c>
      <c r="C40" s="72">
        <f>+C41</f>
        <v>7900000</v>
      </c>
      <c r="D40" s="72">
        <f t="shared" si="19"/>
        <v>0</v>
      </c>
      <c r="E40" s="72">
        <f t="shared" si="19"/>
        <v>0</v>
      </c>
      <c r="F40" s="72">
        <f t="shared" si="19"/>
        <v>-1600000</v>
      </c>
      <c r="G40" s="72">
        <f t="shared" si="19"/>
        <v>-1600000</v>
      </c>
      <c r="H40" s="72">
        <f t="shared" si="19"/>
        <v>-5254000</v>
      </c>
      <c r="I40" s="72">
        <f t="shared" si="19"/>
        <v>2646000</v>
      </c>
      <c r="J40" s="72">
        <f t="shared" si="19"/>
        <v>0</v>
      </c>
      <c r="K40" s="102">
        <f t="shared" si="19"/>
        <v>2447965</v>
      </c>
      <c r="L40" s="102">
        <f t="shared" si="19"/>
        <v>0</v>
      </c>
      <c r="M40" s="72">
        <f t="shared" si="19"/>
        <v>2447965</v>
      </c>
      <c r="N40" s="50">
        <f t="shared" si="12"/>
        <v>92.51568405139834</v>
      </c>
      <c r="O40" s="50">
        <f t="shared" si="13"/>
        <v>92.51568405139834</v>
      </c>
      <c r="P40" s="94">
        <f t="shared" si="4"/>
        <v>1</v>
      </c>
      <c r="Q40" s="116"/>
      <c r="R40" s="93"/>
      <c r="S40" s="112"/>
      <c r="T40" s="113"/>
    </row>
    <row r="41" spans="1:20" ht="12.75">
      <c r="A41" s="81" t="s">
        <v>175</v>
      </c>
      <c r="B41" s="92" t="s">
        <v>82</v>
      </c>
      <c r="C41" s="70">
        <f>SUM(C42:C46)</f>
        <v>7900000</v>
      </c>
      <c r="D41" s="70">
        <f aca="true" t="shared" si="20" ref="D41:M41">SUM(D42:D46)</f>
        <v>0</v>
      </c>
      <c r="E41" s="70">
        <f t="shared" si="20"/>
        <v>0</v>
      </c>
      <c r="F41" s="70">
        <f t="shared" si="20"/>
        <v>-1600000</v>
      </c>
      <c r="G41" s="70">
        <f t="shared" si="20"/>
        <v>-1600000</v>
      </c>
      <c r="H41" s="70">
        <f t="shared" si="20"/>
        <v>-5254000</v>
      </c>
      <c r="I41" s="70">
        <f t="shared" si="20"/>
        <v>2646000</v>
      </c>
      <c r="J41" s="70">
        <f>SUM(J43:J46)</f>
        <v>0</v>
      </c>
      <c r="K41" s="89">
        <f t="shared" si="20"/>
        <v>2447965</v>
      </c>
      <c r="L41" s="89">
        <f t="shared" si="20"/>
        <v>0</v>
      </c>
      <c r="M41" s="70">
        <f t="shared" si="20"/>
        <v>2447965</v>
      </c>
      <c r="N41" s="50">
        <f aca="true" t="shared" si="21" ref="N41:N47">+K41/I41*100</f>
        <v>92.51568405139834</v>
      </c>
      <c r="O41" s="50">
        <f t="shared" si="13"/>
        <v>92.51568405139834</v>
      </c>
      <c r="P41" s="94">
        <f t="shared" si="4"/>
        <v>1</v>
      </c>
      <c r="Q41" s="116"/>
      <c r="R41" s="93"/>
      <c r="S41" s="112"/>
      <c r="T41" s="113"/>
    </row>
    <row r="42" spans="1:20" ht="20.25">
      <c r="A42" s="82" t="s">
        <v>176</v>
      </c>
      <c r="B42" s="95" t="s">
        <v>83</v>
      </c>
      <c r="C42" s="51">
        <v>1000000</v>
      </c>
      <c r="D42" s="53">
        <v>0</v>
      </c>
      <c r="E42" s="53">
        <v>0</v>
      </c>
      <c r="F42" s="51">
        <v>-1000000</v>
      </c>
      <c r="G42" s="71">
        <f>+D42+E42+F42</f>
        <v>-1000000</v>
      </c>
      <c r="H42" s="51">
        <v>-1000000</v>
      </c>
      <c r="I42" s="71">
        <f>+C42+H42</f>
        <v>0</v>
      </c>
      <c r="J42" s="53">
        <f>+'[3]Informe'!$L50</f>
        <v>0</v>
      </c>
      <c r="K42" s="73">
        <v>0</v>
      </c>
      <c r="L42" s="53">
        <f>+'[3]Informe'!$R50</f>
        <v>0</v>
      </c>
      <c r="M42" s="71">
        <v>0</v>
      </c>
      <c r="N42" s="50">
        <v>0</v>
      </c>
      <c r="O42" s="50">
        <v>0</v>
      </c>
      <c r="P42" s="94">
        <v>0</v>
      </c>
      <c r="Q42" s="116"/>
      <c r="R42" s="93"/>
      <c r="S42" s="112"/>
      <c r="T42" s="113"/>
    </row>
    <row r="43" spans="1:20" ht="30">
      <c r="A43" s="82" t="s">
        <v>177</v>
      </c>
      <c r="B43" s="95" t="s">
        <v>84</v>
      </c>
      <c r="C43" s="51">
        <v>1200000</v>
      </c>
      <c r="D43" s="53">
        <v>0</v>
      </c>
      <c r="E43" s="53">
        <v>0</v>
      </c>
      <c r="F43" s="51">
        <v>-600000</v>
      </c>
      <c r="G43" s="71">
        <f>+D43+E43+F43</f>
        <v>-600000</v>
      </c>
      <c r="H43" s="51">
        <v>-600000</v>
      </c>
      <c r="I43" s="71">
        <f>+C43+H43</f>
        <v>600000</v>
      </c>
      <c r="J43" s="53">
        <f>+'[3]Informe'!$L51</f>
        <v>0</v>
      </c>
      <c r="K43" s="73">
        <v>570965</v>
      </c>
      <c r="L43" s="53">
        <f>+'[3]Informe'!$R51</f>
        <v>0</v>
      </c>
      <c r="M43" s="71">
        <f>285482+285483</f>
        <v>570965</v>
      </c>
      <c r="N43" s="50">
        <f t="shared" si="21"/>
        <v>95.16083333333333</v>
      </c>
      <c r="O43" s="50">
        <f>+M43/I43*100</f>
        <v>95.16083333333333</v>
      </c>
      <c r="P43" s="94">
        <f t="shared" si="4"/>
        <v>1</v>
      </c>
      <c r="Q43" s="116"/>
      <c r="R43" s="93"/>
      <c r="S43" s="112"/>
      <c r="T43" s="113"/>
    </row>
    <row r="44" spans="1:20" ht="30">
      <c r="A44" s="82" t="s">
        <v>178</v>
      </c>
      <c r="B44" s="95" t="s">
        <v>85</v>
      </c>
      <c r="C44" s="51">
        <v>2000000</v>
      </c>
      <c r="D44" s="53">
        <v>0</v>
      </c>
      <c r="E44" s="53">
        <v>0</v>
      </c>
      <c r="F44" s="51">
        <v>0</v>
      </c>
      <c r="G44" s="71">
        <f>+D44+E44+F44</f>
        <v>0</v>
      </c>
      <c r="H44" s="51">
        <v>0</v>
      </c>
      <c r="I44" s="71">
        <f>+C44+H44</f>
        <v>2000000</v>
      </c>
      <c r="J44" s="53">
        <f>+'[3]Informe'!$L52</f>
        <v>0</v>
      </c>
      <c r="K44" s="73">
        <v>1831000</v>
      </c>
      <c r="L44" s="53">
        <f>+'[3]Informe'!$R52</f>
        <v>0</v>
      </c>
      <c r="M44" s="71">
        <v>1831000</v>
      </c>
      <c r="N44" s="50">
        <f t="shared" si="21"/>
        <v>91.55</v>
      </c>
      <c r="O44" s="50">
        <f>+M44/I44*100</f>
        <v>91.55</v>
      </c>
      <c r="P44" s="94">
        <f t="shared" si="4"/>
        <v>1</v>
      </c>
      <c r="Q44" s="116"/>
      <c r="R44" s="93"/>
      <c r="S44" s="112"/>
      <c r="T44" s="113"/>
    </row>
    <row r="45" spans="1:20" ht="51">
      <c r="A45" s="82" t="s">
        <v>179</v>
      </c>
      <c r="B45" s="95" t="s">
        <v>86</v>
      </c>
      <c r="C45" s="51">
        <v>2200000</v>
      </c>
      <c r="D45" s="53">
        <v>0</v>
      </c>
      <c r="E45" s="53">
        <v>0</v>
      </c>
      <c r="F45" s="51">
        <v>0</v>
      </c>
      <c r="G45" s="71">
        <f>+D45+E45+F45</f>
        <v>0</v>
      </c>
      <c r="H45" s="51">
        <v>-2154000</v>
      </c>
      <c r="I45" s="71">
        <f>+C45+H45</f>
        <v>46000</v>
      </c>
      <c r="J45" s="53">
        <f>+'[3]Informe'!$L53</f>
        <v>0</v>
      </c>
      <c r="K45" s="73">
        <v>46000</v>
      </c>
      <c r="L45" s="53">
        <f>+'[3]Informe'!$R53</f>
        <v>0</v>
      </c>
      <c r="M45" s="71">
        <v>46000</v>
      </c>
      <c r="N45" s="50">
        <f t="shared" si="21"/>
        <v>100</v>
      </c>
      <c r="O45" s="50">
        <f>+M45/I45*100</f>
        <v>100</v>
      </c>
      <c r="P45" s="94">
        <f t="shared" si="4"/>
        <v>1</v>
      </c>
      <c r="Q45" s="116"/>
      <c r="R45" s="93"/>
      <c r="S45" s="112"/>
      <c r="T45" s="113"/>
    </row>
    <row r="46" spans="1:20" ht="40.5">
      <c r="A46" s="82" t="s">
        <v>180</v>
      </c>
      <c r="B46" s="95" t="s">
        <v>87</v>
      </c>
      <c r="C46" s="51">
        <v>1500000</v>
      </c>
      <c r="D46" s="53">
        <v>0</v>
      </c>
      <c r="E46" s="53">
        <v>0</v>
      </c>
      <c r="F46" s="51">
        <v>0</v>
      </c>
      <c r="G46" s="71">
        <f>+D46+E46+F46</f>
        <v>0</v>
      </c>
      <c r="H46" s="51">
        <v>-1500000</v>
      </c>
      <c r="I46" s="71">
        <f>+C46+H46</f>
        <v>0</v>
      </c>
      <c r="J46" s="53">
        <f>+'[3]Informe'!$L54</f>
        <v>0</v>
      </c>
      <c r="K46" s="73">
        <v>0</v>
      </c>
      <c r="L46" s="53">
        <f>+'[3]Informe'!$R54</f>
        <v>0</v>
      </c>
      <c r="M46" s="71">
        <v>0</v>
      </c>
      <c r="N46" s="50">
        <v>0</v>
      </c>
      <c r="O46" s="50">
        <v>0</v>
      </c>
      <c r="P46" s="94">
        <v>0</v>
      </c>
      <c r="Q46" s="116"/>
      <c r="R46" s="93"/>
      <c r="S46" s="112"/>
      <c r="T46" s="113"/>
    </row>
    <row r="47" spans="1:20" ht="20.25">
      <c r="A47" s="81" t="s">
        <v>181</v>
      </c>
      <c r="B47" s="92" t="s">
        <v>88</v>
      </c>
      <c r="C47" s="70">
        <f>+C48+C52+C59+C62+C65+C67+C73</f>
        <v>118100000</v>
      </c>
      <c r="D47" s="70">
        <f aca="true" t="shared" si="22" ref="D47:M47">+D48+D52+D59+D62+D65+D67+D73</f>
        <v>0</v>
      </c>
      <c r="E47" s="70">
        <f t="shared" si="22"/>
        <v>0</v>
      </c>
      <c r="F47" s="70">
        <f t="shared" si="22"/>
        <v>26550000</v>
      </c>
      <c r="G47" s="70">
        <f t="shared" si="22"/>
        <v>26550000</v>
      </c>
      <c r="H47" s="70">
        <f t="shared" si="22"/>
        <v>31069000</v>
      </c>
      <c r="I47" s="70">
        <f t="shared" si="22"/>
        <v>149169000</v>
      </c>
      <c r="J47" s="70">
        <f t="shared" si="22"/>
        <v>21772956</v>
      </c>
      <c r="K47" s="89">
        <f t="shared" si="22"/>
        <v>123931341</v>
      </c>
      <c r="L47" s="89">
        <f t="shared" si="22"/>
        <v>33049956</v>
      </c>
      <c r="M47" s="70">
        <f t="shared" si="22"/>
        <v>123550018</v>
      </c>
      <c r="N47" s="50">
        <f t="shared" si="21"/>
        <v>83.08116364660218</v>
      </c>
      <c r="O47" s="50">
        <f>+M47/I47*100</f>
        <v>82.82553211458145</v>
      </c>
      <c r="P47" s="94">
        <f t="shared" si="4"/>
        <v>0.9969231108376371</v>
      </c>
      <c r="Q47" s="116"/>
      <c r="R47" s="93"/>
      <c r="S47" s="112"/>
      <c r="T47" s="113"/>
    </row>
    <row r="48" spans="1:20" ht="40.5">
      <c r="A48" s="81" t="s">
        <v>182</v>
      </c>
      <c r="B48" s="92" t="s">
        <v>89</v>
      </c>
      <c r="C48" s="70">
        <f>SUM(C49:C51)</f>
        <v>17500000</v>
      </c>
      <c r="D48" s="70">
        <f aca="true" t="shared" si="23" ref="D48:M48">SUM(D49:D51)</f>
        <v>0</v>
      </c>
      <c r="E48" s="70">
        <f t="shared" si="23"/>
        <v>0</v>
      </c>
      <c r="F48" s="70">
        <f t="shared" si="23"/>
        <v>-1500000</v>
      </c>
      <c r="G48" s="70">
        <f t="shared" si="23"/>
        <v>-1500000</v>
      </c>
      <c r="H48" s="70">
        <f t="shared" si="23"/>
        <v>-1500000</v>
      </c>
      <c r="I48" s="70">
        <f t="shared" si="23"/>
        <v>16000000</v>
      </c>
      <c r="J48" s="70">
        <f t="shared" si="23"/>
        <v>0</v>
      </c>
      <c r="K48" s="89">
        <f t="shared" si="23"/>
        <v>15663000</v>
      </c>
      <c r="L48" s="89">
        <f t="shared" si="23"/>
        <v>0</v>
      </c>
      <c r="M48" s="70">
        <f t="shared" si="23"/>
        <v>15663000</v>
      </c>
      <c r="N48" s="49">
        <f>SUM(N49:N51)</f>
        <v>97.89375</v>
      </c>
      <c r="O48" s="49">
        <f>SUM(O49:O51)</f>
        <v>97.89375</v>
      </c>
      <c r="P48" s="94">
        <f t="shared" si="4"/>
        <v>1</v>
      </c>
      <c r="Q48" s="116"/>
      <c r="R48" s="93"/>
      <c r="S48" s="112"/>
      <c r="T48" s="113"/>
    </row>
    <row r="49" spans="1:20" ht="12.75">
      <c r="A49" s="82" t="s">
        <v>183</v>
      </c>
      <c r="B49" s="95" t="s">
        <v>90</v>
      </c>
      <c r="C49" s="51">
        <v>500000</v>
      </c>
      <c r="D49" s="53">
        <v>0</v>
      </c>
      <c r="E49" s="53">
        <v>0</v>
      </c>
      <c r="F49" s="51">
        <v>-500000</v>
      </c>
      <c r="G49" s="71">
        <f aca="true" t="shared" si="24" ref="G49:G78">+D49+E49+F49</f>
        <v>-500000</v>
      </c>
      <c r="H49" s="51">
        <v>-500000</v>
      </c>
      <c r="I49" s="71">
        <f>+C49+H49</f>
        <v>0</v>
      </c>
      <c r="J49" s="73">
        <f>+'[3]Informe'!$L58</f>
        <v>0</v>
      </c>
      <c r="K49" s="73">
        <v>0</v>
      </c>
      <c r="L49" s="73">
        <f>+'[3]Informe'!$R58</f>
        <v>0</v>
      </c>
      <c r="M49" s="71">
        <v>0</v>
      </c>
      <c r="N49" s="50">
        <v>0</v>
      </c>
      <c r="O49" s="50">
        <v>0</v>
      </c>
      <c r="P49" s="94">
        <v>0</v>
      </c>
      <c r="Q49" s="116"/>
      <c r="R49" s="93"/>
      <c r="S49" s="112"/>
      <c r="T49" s="113"/>
    </row>
    <row r="50" spans="1:20" ht="12.75">
      <c r="A50" s="82" t="s">
        <v>184</v>
      </c>
      <c r="B50" s="95" t="s">
        <v>91</v>
      </c>
      <c r="C50" s="51">
        <v>1000000</v>
      </c>
      <c r="D50" s="53">
        <v>0</v>
      </c>
      <c r="E50" s="53">
        <v>0</v>
      </c>
      <c r="F50" s="51">
        <v>-1000000</v>
      </c>
      <c r="G50" s="71">
        <f t="shared" si="24"/>
        <v>-1000000</v>
      </c>
      <c r="H50" s="51">
        <v>-1000000</v>
      </c>
      <c r="I50" s="71">
        <f>+C50+H50</f>
        <v>0</v>
      </c>
      <c r="J50" s="73">
        <f>+'[3]Informe'!$L59</f>
        <v>0</v>
      </c>
      <c r="K50" s="73">
        <v>0</v>
      </c>
      <c r="L50" s="73">
        <f>+'[3]Informe'!$R59</f>
        <v>0</v>
      </c>
      <c r="M50" s="71">
        <v>0</v>
      </c>
      <c r="N50" s="50">
        <v>0</v>
      </c>
      <c r="O50" s="50">
        <v>0</v>
      </c>
      <c r="P50" s="94">
        <v>0</v>
      </c>
      <c r="Q50" s="116"/>
      <c r="R50" s="93"/>
      <c r="S50" s="112"/>
      <c r="T50" s="113"/>
    </row>
    <row r="51" spans="1:20" ht="20.25">
      <c r="A51" s="82" t="s">
        <v>185</v>
      </c>
      <c r="B51" s="95" t="s">
        <v>92</v>
      </c>
      <c r="C51" s="51">
        <v>16000000</v>
      </c>
      <c r="D51" s="53">
        <v>0</v>
      </c>
      <c r="E51" s="53">
        <v>0</v>
      </c>
      <c r="F51" s="51">
        <v>0</v>
      </c>
      <c r="G51" s="71">
        <f t="shared" si="24"/>
        <v>0</v>
      </c>
      <c r="H51" s="51">
        <v>0</v>
      </c>
      <c r="I51" s="71">
        <f>+C51+H51</f>
        <v>16000000</v>
      </c>
      <c r="J51" s="73">
        <f>+'[3]Informe'!$L60</f>
        <v>0</v>
      </c>
      <c r="K51" s="73">
        <v>15663000</v>
      </c>
      <c r="L51" s="73">
        <f>+'[3]Informe'!$R60</f>
        <v>0</v>
      </c>
      <c r="M51" s="71">
        <f>7831500+7831500</f>
        <v>15663000</v>
      </c>
      <c r="N51" s="50">
        <f>+K51/I51*100</f>
        <v>97.89375</v>
      </c>
      <c r="O51" s="50">
        <f>+M51/I51*100</f>
        <v>97.89375</v>
      </c>
      <c r="P51" s="94">
        <f t="shared" si="4"/>
        <v>1</v>
      </c>
      <c r="Q51" s="116"/>
      <c r="R51" s="93"/>
      <c r="S51" s="112"/>
      <c r="T51" s="113"/>
    </row>
    <row r="52" spans="1:20" ht="40.5">
      <c r="A52" s="81" t="s">
        <v>186</v>
      </c>
      <c r="B52" s="92" t="s">
        <v>93</v>
      </c>
      <c r="C52" s="70">
        <f>SUM(C53:C58)</f>
        <v>22000000</v>
      </c>
      <c r="D52" s="70">
        <f aca="true" t="shared" si="25" ref="D52:M52">SUM(D53:D58)</f>
        <v>0</v>
      </c>
      <c r="E52" s="70">
        <f t="shared" si="25"/>
        <v>0</v>
      </c>
      <c r="F52" s="70">
        <f t="shared" si="25"/>
        <v>11500000</v>
      </c>
      <c r="G52" s="70">
        <f t="shared" si="25"/>
        <v>11500000</v>
      </c>
      <c r="H52" s="70">
        <f t="shared" si="25"/>
        <v>14452000</v>
      </c>
      <c r="I52" s="70">
        <f t="shared" si="25"/>
        <v>36452000</v>
      </c>
      <c r="J52" s="70">
        <f t="shared" si="25"/>
        <v>158261</v>
      </c>
      <c r="K52" s="89">
        <f t="shared" si="25"/>
        <v>30035616</v>
      </c>
      <c r="L52" s="89">
        <f t="shared" si="25"/>
        <v>11034261</v>
      </c>
      <c r="M52" s="70">
        <f t="shared" si="25"/>
        <v>30035616</v>
      </c>
      <c r="N52" s="50">
        <f>+K52/I52*100</f>
        <v>82.39771754636234</v>
      </c>
      <c r="O52" s="50">
        <f>+M52/I52*100</f>
        <v>82.39771754636234</v>
      </c>
      <c r="P52" s="94">
        <f t="shared" si="4"/>
        <v>1</v>
      </c>
      <c r="Q52" s="116"/>
      <c r="R52" s="93"/>
      <c r="S52" s="112"/>
      <c r="T52" s="113"/>
    </row>
    <row r="53" spans="1:20" ht="19.5" customHeight="1">
      <c r="A53" s="82" t="s">
        <v>187</v>
      </c>
      <c r="B53" s="95" t="s">
        <v>94</v>
      </c>
      <c r="C53" s="51">
        <v>9000000</v>
      </c>
      <c r="D53" s="53">
        <v>0</v>
      </c>
      <c r="E53" s="53">
        <v>0</v>
      </c>
      <c r="F53" s="51">
        <v>0</v>
      </c>
      <c r="G53" s="71">
        <f t="shared" si="24"/>
        <v>0</v>
      </c>
      <c r="H53" s="51">
        <v>-7000000</v>
      </c>
      <c r="I53" s="71">
        <f aca="true" t="shared" si="26" ref="I53:I58">+C53+H53</f>
        <v>2000000</v>
      </c>
      <c r="J53" s="73">
        <f>+'[3]Informe'!$L62</f>
        <v>38261</v>
      </c>
      <c r="K53" s="73">
        <f>1960000+38261</f>
        <v>1998261</v>
      </c>
      <c r="L53" s="73">
        <f>+'[3]Informe'!$R62</f>
        <v>1998261</v>
      </c>
      <c r="M53" s="71">
        <v>1998261</v>
      </c>
      <c r="N53" s="50">
        <f>+K53/I53*100</f>
        <v>99.91305</v>
      </c>
      <c r="O53" s="50">
        <f>+M53/I53*100</f>
        <v>99.91305</v>
      </c>
      <c r="P53" s="94">
        <f t="shared" si="4"/>
        <v>1</v>
      </c>
      <c r="Q53" s="116"/>
      <c r="R53" s="93"/>
      <c r="S53" s="112"/>
      <c r="T53" s="113"/>
    </row>
    <row r="54" spans="1:20" ht="40.5">
      <c r="A54" s="82" t="s">
        <v>188</v>
      </c>
      <c r="B54" s="95" t="s">
        <v>95</v>
      </c>
      <c r="C54" s="51">
        <v>4000000</v>
      </c>
      <c r="D54" s="53">
        <v>0</v>
      </c>
      <c r="E54" s="53">
        <v>0</v>
      </c>
      <c r="F54" s="51">
        <v>6400000</v>
      </c>
      <c r="G54" s="71">
        <f t="shared" si="24"/>
        <v>6400000</v>
      </c>
      <c r="H54" s="51">
        <f>-3447000+6400000</f>
        <v>2953000</v>
      </c>
      <c r="I54" s="71">
        <f t="shared" si="26"/>
        <v>6953000</v>
      </c>
      <c r="J54" s="73">
        <f>+'[3]Informe'!$L63</f>
        <v>0</v>
      </c>
      <c r="K54" s="73">
        <f>299000+127000+127000</f>
        <v>553000</v>
      </c>
      <c r="L54" s="73">
        <f>+'[3]Informe'!$R63</f>
        <v>0</v>
      </c>
      <c r="M54" s="71">
        <f>299000+127000+127000</f>
        <v>553000</v>
      </c>
      <c r="N54" s="50">
        <f>+K54/I54*100</f>
        <v>7.953401409463541</v>
      </c>
      <c r="O54" s="50">
        <f>+M54/I54*100</f>
        <v>7.953401409463541</v>
      </c>
      <c r="P54" s="94">
        <f t="shared" si="4"/>
        <v>1</v>
      </c>
      <c r="Q54" s="116"/>
      <c r="R54" s="93"/>
      <c r="S54" s="112"/>
      <c r="T54" s="113"/>
    </row>
    <row r="55" spans="1:20" ht="60.75">
      <c r="A55" s="82" t="s">
        <v>189</v>
      </c>
      <c r="B55" s="95" t="s">
        <v>96</v>
      </c>
      <c r="C55" s="51">
        <v>5000000</v>
      </c>
      <c r="D55" s="53">
        <v>0</v>
      </c>
      <c r="E55" s="53">
        <v>0</v>
      </c>
      <c r="F55" s="51">
        <v>7500000</v>
      </c>
      <c r="G55" s="71">
        <f t="shared" si="24"/>
        <v>7500000</v>
      </c>
      <c r="H55" s="51">
        <f>6899000+7000000+7500000</f>
        <v>21399000</v>
      </c>
      <c r="I55" s="71">
        <f t="shared" si="26"/>
        <v>26399000</v>
      </c>
      <c r="J55" s="73">
        <f>+'[3]Informe'!$L64</f>
        <v>120000</v>
      </c>
      <c r="K55" s="73">
        <f>12000+4186600+7700400+1484743+1078300+11816000+120000</f>
        <v>26398043</v>
      </c>
      <c r="L55" s="73">
        <f>+'[3]Informe'!$R64</f>
        <v>9036000</v>
      </c>
      <c r="M55" s="71">
        <f>12000+4186600+7700400+1484743+1078300+2900000+9036000</f>
        <v>26398043</v>
      </c>
      <c r="N55" s="50">
        <f>+K55/I55*100</f>
        <v>99.99637486268419</v>
      </c>
      <c r="O55" s="50">
        <f>+M55/I55*100</f>
        <v>99.99637486268419</v>
      </c>
      <c r="P55" s="94">
        <f t="shared" si="4"/>
        <v>1</v>
      </c>
      <c r="Q55" s="116"/>
      <c r="R55" s="93"/>
      <c r="S55" s="112"/>
      <c r="T55" s="113"/>
    </row>
    <row r="56" spans="1:20" ht="18" customHeight="1">
      <c r="A56" s="82" t="s">
        <v>190</v>
      </c>
      <c r="B56" s="95" t="s">
        <v>97</v>
      </c>
      <c r="C56" s="51">
        <v>1000000</v>
      </c>
      <c r="D56" s="53">
        <v>0</v>
      </c>
      <c r="E56" s="53">
        <v>0</v>
      </c>
      <c r="F56" s="51">
        <v>0</v>
      </c>
      <c r="G56" s="71">
        <f t="shared" si="24"/>
        <v>0</v>
      </c>
      <c r="H56" s="51">
        <v>-1000000</v>
      </c>
      <c r="I56" s="71">
        <f t="shared" si="26"/>
        <v>0</v>
      </c>
      <c r="J56" s="73">
        <f>+'[3]Informe'!$L65</f>
        <v>0</v>
      </c>
      <c r="K56" s="73">
        <v>0</v>
      </c>
      <c r="L56" s="73">
        <f>+'[3]Informe'!$R65</f>
        <v>0</v>
      </c>
      <c r="M56" s="71">
        <v>0</v>
      </c>
      <c r="N56" s="50">
        <v>0</v>
      </c>
      <c r="O56" s="50">
        <v>0</v>
      </c>
      <c r="P56" s="94">
        <v>0</v>
      </c>
      <c r="Q56" s="116"/>
      <c r="R56" s="93"/>
      <c r="S56" s="112"/>
      <c r="T56" s="113"/>
    </row>
    <row r="57" spans="1:20" ht="24" customHeight="1">
      <c r="A57" s="82" t="s">
        <v>191</v>
      </c>
      <c r="B57" s="95" t="s">
        <v>98</v>
      </c>
      <c r="C57" s="51">
        <v>2000000</v>
      </c>
      <c r="D57" s="53">
        <v>0</v>
      </c>
      <c r="E57" s="53">
        <v>0</v>
      </c>
      <c r="F57" s="51">
        <v>-2400000</v>
      </c>
      <c r="G57" s="71">
        <f t="shared" si="24"/>
        <v>-2400000</v>
      </c>
      <c r="H57" s="51">
        <f>1500000-2400000</f>
        <v>-900000</v>
      </c>
      <c r="I57" s="71">
        <f t="shared" si="26"/>
        <v>1100000</v>
      </c>
      <c r="J57" s="73">
        <f>+'[3]Informe'!$L66</f>
        <v>0</v>
      </c>
      <c r="K57" s="73">
        <f>987312+99000</f>
        <v>1086312</v>
      </c>
      <c r="L57" s="73">
        <f>+'[3]Informe'!$R66</f>
        <v>0</v>
      </c>
      <c r="M57" s="71">
        <f>987312+99000</f>
        <v>1086312</v>
      </c>
      <c r="N57" s="50">
        <f>+K57/I57*100</f>
        <v>98.75563636363637</v>
      </c>
      <c r="O57" s="50">
        <f>+M57/I57*100</f>
        <v>98.75563636363637</v>
      </c>
      <c r="P57" s="94">
        <f t="shared" si="4"/>
        <v>1</v>
      </c>
      <c r="Q57" s="117"/>
      <c r="R57" s="93"/>
      <c r="S57" s="112"/>
      <c r="T57" s="113"/>
    </row>
    <row r="58" spans="1:20" ht="21" customHeight="1">
      <c r="A58" s="82" t="s">
        <v>192</v>
      </c>
      <c r="B58" s="95" t="s">
        <v>99</v>
      </c>
      <c r="C58" s="51">
        <v>1000000</v>
      </c>
      <c r="D58" s="53">
        <v>0</v>
      </c>
      <c r="E58" s="53">
        <v>0</v>
      </c>
      <c r="F58" s="51">
        <v>0</v>
      </c>
      <c r="G58" s="71">
        <f t="shared" si="24"/>
        <v>0</v>
      </c>
      <c r="H58" s="51">
        <v>-1000000</v>
      </c>
      <c r="I58" s="71">
        <f t="shared" si="26"/>
        <v>0</v>
      </c>
      <c r="J58" s="73">
        <f>+'[3]Informe'!$L67</f>
        <v>0</v>
      </c>
      <c r="K58" s="73">
        <v>0</v>
      </c>
      <c r="L58" s="73">
        <f>+'[3]Informe'!$R67</f>
        <v>0</v>
      </c>
      <c r="M58" s="71">
        <v>0</v>
      </c>
      <c r="N58" s="50">
        <v>0</v>
      </c>
      <c r="O58" s="50">
        <v>0</v>
      </c>
      <c r="P58" s="94">
        <v>0</v>
      </c>
      <c r="Q58" s="116"/>
      <c r="R58" s="93"/>
      <c r="S58" s="112"/>
      <c r="T58" s="113"/>
    </row>
    <row r="59" spans="1:20" ht="20.25">
      <c r="A59" s="81" t="s">
        <v>193</v>
      </c>
      <c r="B59" s="92" t="s">
        <v>100</v>
      </c>
      <c r="C59" s="70">
        <f>SUM(C60:C61)</f>
        <v>3500000</v>
      </c>
      <c r="D59" s="70">
        <f aca="true" t="shared" si="27" ref="D59:M59">SUM(D60:D61)</f>
        <v>0</v>
      </c>
      <c r="E59" s="70">
        <f t="shared" si="27"/>
        <v>0</v>
      </c>
      <c r="F59" s="70">
        <f t="shared" si="27"/>
        <v>0</v>
      </c>
      <c r="G59" s="70">
        <f t="shared" si="27"/>
        <v>0</v>
      </c>
      <c r="H59" s="70">
        <f t="shared" si="27"/>
        <v>-635000</v>
      </c>
      <c r="I59" s="70">
        <f t="shared" si="27"/>
        <v>2865000</v>
      </c>
      <c r="J59" s="70">
        <f t="shared" si="27"/>
        <v>0</v>
      </c>
      <c r="K59" s="89">
        <f t="shared" si="27"/>
        <v>1266000</v>
      </c>
      <c r="L59" s="89">
        <f t="shared" si="27"/>
        <v>401000</v>
      </c>
      <c r="M59" s="70">
        <f t="shared" si="27"/>
        <v>1266000</v>
      </c>
      <c r="N59" s="50">
        <f aca="true" t="shared" si="28" ref="N59:N99">+K59/I59*100</f>
        <v>44.18848167539267</v>
      </c>
      <c r="O59" s="50">
        <f aca="true" t="shared" si="29" ref="O59:O99">+M59/I59*100</f>
        <v>44.18848167539267</v>
      </c>
      <c r="P59" s="94">
        <f t="shared" si="4"/>
        <v>1</v>
      </c>
      <c r="Q59" s="116"/>
      <c r="R59" s="93"/>
      <c r="S59" s="112"/>
      <c r="T59" s="113"/>
    </row>
    <row r="60" spans="1:20" ht="30">
      <c r="A60" s="82" t="s">
        <v>194</v>
      </c>
      <c r="B60" s="95" t="s">
        <v>84</v>
      </c>
      <c r="C60" s="51">
        <v>1500000</v>
      </c>
      <c r="D60" s="53">
        <v>0</v>
      </c>
      <c r="E60" s="53">
        <v>0</v>
      </c>
      <c r="F60" s="51">
        <v>0</v>
      </c>
      <c r="G60" s="71">
        <f t="shared" si="24"/>
        <v>0</v>
      </c>
      <c r="H60" s="51">
        <v>-635000</v>
      </c>
      <c r="I60" s="71">
        <f>+C60+H60</f>
        <v>865000</v>
      </c>
      <c r="J60" s="73">
        <f>+'[3]Informe'!$L69</f>
        <v>0</v>
      </c>
      <c r="K60" s="73">
        <f>365000+500000</f>
        <v>865000</v>
      </c>
      <c r="L60" s="73">
        <f>+'[3]Informe'!$R69</f>
        <v>0</v>
      </c>
      <c r="M60" s="71">
        <f>365000+500000</f>
        <v>865000</v>
      </c>
      <c r="N60" s="50">
        <f t="shared" si="28"/>
        <v>100</v>
      </c>
      <c r="O60" s="50">
        <f t="shared" si="29"/>
        <v>100</v>
      </c>
      <c r="P60" s="94">
        <f t="shared" si="4"/>
        <v>1</v>
      </c>
      <c r="Q60" s="116"/>
      <c r="R60" s="93"/>
      <c r="S60" s="112"/>
      <c r="T60" s="113"/>
    </row>
    <row r="61" spans="1:20" ht="30">
      <c r="A61" s="82" t="s">
        <v>195</v>
      </c>
      <c r="B61" s="95" t="s">
        <v>85</v>
      </c>
      <c r="C61" s="51">
        <v>2000000</v>
      </c>
      <c r="D61" s="53">
        <v>0</v>
      </c>
      <c r="E61" s="53">
        <v>0</v>
      </c>
      <c r="F61" s="51">
        <v>0</v>
      </c>
      <c r="G61" s="71">
        <f t="shared" si="24"/>
        <v>0</v>
      </c>
      <c r="H61" s="51">
        <v>0</v>
      </c>
      <c r="I61" s="71">
        <f>+C61+H61</f>
        <v>2000000</v>
      </c>
      <c r="J61" s="73">
        <f>+'[3]Informe'!$L70</f>
        <v>0</v>
      </c>
      <c r="K61" s="73">
        <v>401000</v>
      </c>
      <c r="L61" s="73">
        <f>+'[3]Informe'!$R70</f>
        <v>401000</v>
      </c>
      <c r="M61" s="71">
        <v>401000</v>
      </c>
      <c r="N61" s="50">
        <f t="shared" si="28"/>
        <v>20.05</v>
      </c>
      <c r="O61" s="50">
        <f t="shared" si="29"/>
        <v>20.05</v>
      </c>
      <c r="P61" s="94">
        <f t="shared" si="4"/>
        <v>1</v>
      </c>
      <c r="Q61" s="116"/>
      <c r="R61" s="93"/>
      <c r="S61" s="112"/>
      <c r="T61" s="113"/>
    </row>
    <row r="62" spans="1:20" ht="60.75">
      <c r="A62" s="81" t="s">
        <v>196</v>
      </c>
      <c r="B62" s="92" t="s">
        <v>103</v>
      </c>
      <c r="C62" s="70">
        <f>SUM(C63:C64)</f>
        <v>9000000</v>
      </c>
      <c r="D62" s="70">
        <f aca="true" t="shared" si="30" ref="D62:M62">SUM(D63:D64)</f>
        <v>0</v>
      </c>
      <c r="E62" s="70">
        <f t="shared" si="30"/>
        <v>0</v>
      </c>
      <c r="F62" s="70">
        <f t="shared" si="30"/>
        <v>-1000000</v>
      </c>
      <c r="G62" s="70">
        <f t="shared" si="30"/>
        <v>-1000000</v>
      </c>
      <c r="H62" s="70">
        <f t="shared" si="30"/>
        <v>8668000</v>
      </c>
      <c r="I62" s="70">
        <f t="shared" si="30"/>
        <v>17668000</v>
      </c>
      <c r="J62" s="70">
        <f t="shared" si="30"/>
        <v>327994</v>
      </c>
      <c r="K62" s="89">
        <f t="shared" si="30"/>
        <v>7492054</v>
      </c>
      <c r="L62" s="89">
        <f t="shared" si="30"/>
        <v>327994</v>
      </c>
      <c r="M62" s="70">
        <f t="shared" si="30"/>
        <v>7492054</v>
      </c>
      <c r="N62" s="50">
        <f t="shared" si="28"/>
        <v>42.404652479058186</v>
      </c>
      <c r="O62" s="50">
        <f t="shared" si="29"/>
        <v>42.404652479058186</v>
      </c>
      <c r="P62" s="94">
        <f t="shared" si="4"/>
        <v>1</v>
      </c>
      <c r="Q62" s="116"/>
      <c r="R62" s="93"/>
      <c r="S62" s="112"/>
      <c r="T62" s="113"/>
    </row>
    <row r="63" spans="1:20" ht="20.25">
      <c r="A63" s="82" t="s">
        <v>197</v>
      </c>
      <c r="B63" s="95" t="s">
        <v>104</v>
      </c>
      <c r="C63" s="51">
        <v>3000000</v>
      </c>
      <c r="D63" s="53">
        <v>0</v>
      </c>
      <c r="E63" s="53">
        <v>0</v>
      </c>
      <c r="F63" s="51">
        <v>-1000000</v>
      </c>
      <c r="G63" s="71">
        <f t="shared" si="24"/>
        <v>-1000000</v>
      </c>
      <c r="H63" s="51">
        <v>-1000000</v>
      </c>
      <c r="I63" s="71">
        <f>+C63+H63</f>
        <v>2000000</v>
      </c>
      <c r="J63" s="73">
        <f>+'[3]Informe'!$L72</f>
        <v>327994</v>
      </c>
      <c r="K63" s="73">
        <f>530207+359377+80907+103061+69174+21334+327994</f>
        <v>1492054</v>
      </c>
      <c r="L63" s="73">
        <f>+'[3]Informe'!$R72</f>
        <v>327994</v>
      </c>
      <c r="M63" s="71">
        <f>530207+359377+80907+103061+34537+34637+21334+327994</f>
        <v>1492054</v>
      </c>
      <c r="N63" s="50">
        <f t="shared" si="28"/>
        <v>74.6027</v>
      </c>
      <c r="O63" s="50">
        <f t="shared" si="29"/>
        <v>74.6027</v>
      </c>
      <c r="P63" s="94">
        <f t="shared" si="4"/>
        <v>1</v>
      </c>
      <c r="Q63" s="116"/>
      <c r="R63" s="93"/>
      <c r="S63" s="112"/>
      <c r="T63" s="113"/>
    </row>
    <row r="64" spans="1:20" ht="40.5">
      <c r="A64" s="82" t="s">
        <v>198</v>
      </c>
      <c r="B64" s="95" t="s">
        <v>105</v>
      </c>
      <c r="C64" s="51">
        <v>6000000</v>
      </c>
      <c r="D64" s="53">
        <v>0</v>
      </c>
      <c r="E64" s="53">
        <v>0</v>
      </c>
      <c r="F64" s="71">
        <v>0</v>
      </c>
      <c r="G64" s="71">
        <f t="shared" si="24"/>
        <v>0</v>
      </c>
      <c r="H64" s="51">
        <v>9668000</v>
      </c>
      <c r="I64" s="71">
        <f>+C64+H64</f>
        <v>15668000</v>
      </c>
      <c r="J64" s="73">
        <f>+'[3]Informe'!$L73</f>
        <v>0</v>
      </c>
      <c r="K64" s="73">
        <f>3843060+2156940</f>
        <v>6000000</v>
      </c>
      <c r="L64" s="73">
        <f>+'[3]Informe'!$R73</f>
        <v>0</v>
      </c>
      <c r="M64" s="71">
        <f>3843060+2156940</f>
        <v>6000000</v>
      </c>
      <c r="N64" s="50">
        <f t="shared" si="28"/>
        <v>38.29461322440643</v>
      </c>
      <c r="O64" s="50">
        <f t="shared" si="29"/>
        <v>38.29461322440643</v>
      </c>
      <c r="P64" s="94">
        <f t="shared" si="4"/>
        <v>1</v>
      </c>
      <c r="Q64" s="116"/>
      <c r="R64" s="93"/>
      <c r="S64" s="112"/>
      <c r="T64" s="113"/>
    </row>
    <row r="65" spans="1:20" ht="40.5">
      <c r="A65" s="81" t="s">
        <v>199</v>
      </c>
      <c r="B65" s="92" t="s">
        <v>106</v>
      </c>
      <c r="C65" s="70">
        <f>+C66</f>
        <v>1000000</v>
      </c>
      <c r="D65" s="70">
        <f aca="true" t="shared" si="31" ref="D65:M65">+D66</f>
        <v>0</v>
      </c>
      <c r="E65" s="70">
        <f t="shared" si="31"/>
        <v>0</v>
      </c>
      <c r="F65" s="70">
        <f t="shared" si="31"/>
        <v>-900000</v>
      </c>
      <c r="G65" s="70">
        <f t="shared" si="31"/>
        <v>-900000</v>
      </c>
      <c r="H65" s="70">
        <f t="shared" si="31"/>
        <v>-900000</v>
      </c>
      <c r="I65" s="70">
        <f t="shared" si="31"/>
        <v>100000</v>
      </c>
      <c r="J65" s="70">
        <f t="shared" si="31"/>
        <v>0</v>
      </c>
      <c r="K65" s="89">
        <f t="shared" si="31"/>
        <v>82149</v>
      </c>
      <c r="L65" s="89">
        <f t="shared" si="31"/>
        <v>0</v>
      </c>
      <c r="M65" s="70">
        <f t="shared" si="31"/>
        <v>82149</v>
      </c>
      <c r="N65" s="50">
        <f t="shared" si="28"/>
        <v>82.149</v>
      </c>
      <c r="O65" s="50">
        <f t="shared" si="29"/>
        <v>82.149</v>
      </c>
      <c r="P65" s="94">
        <f t="shared" si="4"/>
        <v>1</v>
      </c>
      <c r="Q65" s="116"/>
      <c r="R65" s="93"/>
      <c r="S65" s="112"/>
      <c r="T65" s="113"/>
    </row>
    <row r="66" spans="1:20" ht="30" customHeight="1">
      <c r="A66" s="82" t="s">
        <v>200</v>
      </c>
      <c r="B66" s="95" t="s">
        <v>107</v>
      </c>
      <c r="C66" s="51">
        <v>1000000</v>
      </c>
      <c r="D66" s="53">
        <v>0</v>
      </c>
      <c r="E66" s="53">
        <v>0</v>
      </c>
      <c r="F66" s="51">
        <v>-900000</v>
      </c>
      <c r="G66" s="71">
        <f t="shared" si="24"/>
        <v>-900000</v>
      </c>
      <c r="H66" s="51">
        <v>-900000</v>
      </c>
      <c r="I66" s="71">
        <f>+C66+H66</f>
        <v>100000</v>
      </c>
      <c r="J66" s="73">
        <f>+'[3]Informe'!$L$75</f>
        <v>0</v>
      </c>
      <c r="K66" s="73">
        <v>82149</v>
      </c>
      <c r="L66" s="73">
        <f>+'[3]Informe'!$R$75</f>
        <v>0</v>
      </c>
      <c r="M66" s="71">
        <v>82149</v>
      </c>
      <c r="N66" s="50">
        <f t="shared" si="28"/>
        <v>82.149</v>
      </c>
      <c r="O66" s="50">
        <f t="shared" si="29"/>
        <v>82.149</v>
      </c>
      <c r="P66" s="94">
        <f t="shared" si="4"/>
        <v>1</v>
      </c>
      <c r="Q66" s="116"/>
      <c r="R66" s="93"/>
      <c r="S66" s="112"/>
      <c r="T66" s="113"/>
    </row>
    <row r="67" spans="1:20" ht="30">
      <c r="A67" s="81" t="s">
        <v>201</v>
      </c>
      <c r="B67" s="92" t="s">
        <v>108</v>
      </c>
      <c r="C67" s="70">
        <f>SUM(C68:C72)</f>
        <v>12900000</v>
      </c>
      <c r="D67" s="70">
        <f aca="true" t="shared" si="32" ref="D67:M67">SUM(D68:D72)</f>
        <v>0</v>
      </c>
      <c r="E67" s="70">
        <f t="shared" si="32"/>
        <v>0</v>
      </c>
      <c r="F67" s="70">
        <f t="shared" si="32"/>
        <v>0</v>
      </c>
      <c r="G67" s="70">
        <f t="shared" si="32"/>
        <v>0</v>
      </c>
      <c r="H67" s="70">
        <f t="shared" si="32"/>
        <v>-7466000</v>
      </c>
      <c r="I67" s="70">
        <f t="shared" si="32"/>
        <v>5434000</v>
      </c>
      <c r="J67" s="70">
        <f t="shared" si="32"/>
        <v>0</v>
      </c>
      <c r="K67" s="89">
        <f t="shared" si="32"/>
        <v>5283541</v>
      </c>
      <c r="L67" s="89">
        <f t="shared" si="32"/>
        <v>0</v>
      </c>
      <c r="M67" s="70">
        <f t="shared" si="32"/>
        <v>4902218</v>
      </c>
      <c r="N67" s="50">
        <f t="shared" si="28"/>
        <v>97.23115568641884</v>
      </c>
      <c r="O67" s="50">
        <f t="shared" si="29"/>
        <v>90.21380198748619</v>
      </c>
      <c r="P67" s="94">
        <f t="shared" si="4"/>
        <v>0.9278281364713551</v>
      </c>
      <c r="Q67" s="116"/>
      <c r="R67" s="93"/>
      <c r="S67" s="112"/>
      <c r="T67" s="113"/>
    </row>
    <row r="68" spans="1:20" ht="30">
      <c r="A68" s="82" t="s">
        <v>202</v>
      </c>
      <c r="B68" s="95" t="s">
        <v>109</v>
      </c>
      <c r="C68" s="51">
        <v>5800000</v>
      </c>
      <c r="D68" s="53">
        <v>0</v>
      </c>
      <c r="E68" s="53">
        <v>0</v>
      </c>
      <c r="F68" s="51">
        <v>0</v>
      </c>
      <c r="G68" s="71">
        <f t="shared" si="24"/>
        <v>0</v>
      </c>
      <c r="H68" s="51">
        <v>-5800000</v>
      </c>
      <c r="I68" s="71">
        <f>+C68+H68</f>
        <v>0</v>
      </c>
      <c r="J68" s="73">
        <f>+'[3]Informe'!$L77</f>
        <v>0</v>
      </c>
      <c r="K68" s="73">
        <v>0</v>
      </c>
      <c r="L68" s="73">
        <f>+'[3]Informe'!$R77</f>
        <v>0</v>
      </c>
      <c r="M68" s="71">
        <v>0</v>
      </c>
      <c r="N68" s="50">
        <v>0</v>
      </c>
      <c r="O68" s="50">
        <v>0</v>
      </c>
      <c r="P68" s="94">
        <v>0</v>
      </c>
      <c r="Q68" s="116"/>
      <c r="R68" s="93"/>
      <c r="S68" s="112"/>
      <c r="T68" s="113"/>
    </row>
    <row r="69" spans="1:20" ht="20.25">
      <c r="A69" s="82" t="s">
        <v>203</v>
      </c>
      <c r="B69" s="95" t="s">
        <v>110</v>
      </c>
      <c r="C69" s="51">
        <v>2000000</v>
      </c>
      <c r="D69" s="53">
        <v>0</v>
      </c>
      <c r="E69" s="53">
        <v>0</v>
      </c>
      <c r="F69" s="51">
        <v>0</v>
      </c>
      <c r="G69" s="71">
        <f t="shared" si="24"/>
        <v>0</v>
      </c>
      <c r="H69" s="51">
        <v>0</v>
      </c>
      <c r="I69" s="71">
        <f>+C69+H69</f>
        <v>2000000</v>
      </c>
      <c r="J69" s="73">
        <f>+'[3]Informe'!$L78</f>
        <v>0</v>
      </c>
      <c r="K69" s="73">
        <f>810781+158210+725249+103990+104478+58310</f>
        <v>1961018</v>
      </c>
      <c r="L69" s="73">
        <f>+'[3]Informe'!$R78</f>
        <v>0</v>
      </c>
      <c r="M69" s="71">
        <f>739539+229452+725249+103990+104478+58310-36584</f>
        <v>1924434</v>
      </c>
      <c r="N69" s="50">
        <f t="shared" si="28"/>
        <v>98.0509</v>
      </c>
      <c r="O69" s="50">
        <f t="shared" si="29"/>
        <v>96.2217</v>
      </c>
      <c r="P69" s="94">
        <f t="shared" si="4"/>
        <v>0.9813443833763892</v>
      </c>
      <c r="Q69" s="116"/>
      <c r="R69" s="93"/>
      <c r="S69" s="112"/>
      <c r="T69" s="113"/>
    </row>
    <row r="70" spans="1:20" ht="30">
      <c r="A70" s="82" t="s">
        <v>204</v>
      </c>
      <c r="B70" s="95" t="s">
        <v>111</v>
      </c>
      <c r="C70" s="51">
        <v>3000000</v>
      </c>
      <c r="D70" s="53">
        <v>0</v>
      </c>
      <c r="E70" s="53">
        <v>0</v>
      </c>
      <c r="F70" s="51">
        <v>0</v>
      </c>
      <c r="G70" s="71">
        <f t="shared" si="24"/>
        <v>0</v>
      </c>
      <c r="H70" s="51">
        <v>0</v>
      </c>
      <c r="I70" s="71">
        <f>+C70+H70</f>
        <v>3000000</v>
      </c>
      <c r="J70" s="73">
        <f>+'[3]Informe'!$L79</f>
        <v>0</v>
      </c>
      <c r="K70" s="73">
        <f>2167364+104478+229044+388541</f>
        <v>2889427</v>
      </c>
      <c r="L70" s="73">
        <f>+'[3]Informe'!$R79</f>
        <v>0</v>
      </c>
      <c r="M70" s="71">
        <f>2167364+104478+229044+388541-344739</f>
        <v>2544688</v>
      </c>
      <c r="N70" s="50">
        <f t="shared" si="28"/>
        <v>96.31423333333333</v>
      </c>
      <c r="O70" s="50">
        <f t="shared" si="29"/>
        <v>84.82293333333332</v>
      </c>
      <c r="P70" s="94">
        <f t="shared" si="4"/>
        <v>0.8806894931071109</v>
      </c>
      <c r="Q70" s="116"/>
      <c r="R70" s="93"/>
      <c r="S70" s="112"/>
      <c r="T70" s="113"/>
    </row>
    <row r="71" spans="1:20" ht="30">
      <c r="A71" s="82" t="s">
        <v>205</v>
      </c>
      <c r="B71" s="95" t="s">
        <v>112</v>
      </c>
      <c r="C71" s="51">
        <v>1100000</v>
      </c>
      <c r="D71" s="53">
        <v>0</v>
      </c>
      <c r="E71" s="53">
        <v>0</v>
      </c>
      <c r="F71" s="51">
        <v>0</v>
      </c>
      <c r="G71" s="71">
        <f t="shared" si="24"/>
        <v>0</v>
      </c>
      <c r="H71" s="51">
        <v>-904000</v>
      </c>
      <c r="I71" s="71">
        <f>+C71+H71</f>
        <v>196000</v>
      </c>
      <c r="J71" s="73">
        <f>+'[3]Informe'!$L80</f>
        <v>0</v>
      </c>
      <c r="K71" s="73">
        <v>195196</v>
      </c>
      <c r="L71" s="73">
        <f>+'[3]Informe'!$R80</f>
        <v>0</v>
      </c>
      <c r="M71" s="71">
        <v>195196</v>
      </c>
      <c r="N71" s="50">
        <f t="shared" si="28"/>
        <v>99.58979591836736</v>
      </c>
      <c r="O71" s="50">
        <f t="shared" si="29"/>
        <v>99.58979591836736</v>
      </c>
      <c r="P71" s="94">
        <f t="shared" si="4"/>
        <v>1</v>
      </c>
      <c r="Q71" s="116"/>
      <c r="R71" s="93"/>
      <c r="S71" s="112"/>
      <c r="T71" s="113"/>
    </row>
    <row r="72" spans="1:20" ht="40.5">
      <c r="A72" s="82" t="s">
        <v>206</v>
      </c>
      <c r="B72" s="95" t="s">
        <v>113</v>
      </c>
      <c r="C72" s="51">
        <v>1000000</v>
      </c>
      <c r="D72" s="53">
        <v>0</v>
      </c>
      <c r="E72" s="53">
        <v>0</v>
      </c>
      <c r="F72" s="51">
        <v>0</v>
      </c>
      <c r="G72" s="71">
        <f t="shared" si="24"/>
        <v>0</v>
      </c>
      <c r="H72" s="51">
        <v>-762000</v>
      </c>
      <c r="I72" s="71">
        <f>+C72+H72</f>
        <v>238000</v>
      </c>
      <c r="J72" s="73">
        <f>+'[3]Informe'!$L81</f>
        <v>0</v>
      </c>
      <c r="K72" s="73">
        <v>237900</v>
      </c>
      <c r="L72" s="73">
        <f>+'[3]Informe'!$R81</f>
        <v>0</v>
      </c>
      <c r="M72" s="71">
        <v>237900</v>
      </c>
      <c r="N72" s="50">
        <f t="shared" si="28"/>
        <v>99.95798319327731</v>
      </c>
      <c r="O72" s="50">
        <f t="shared" si="29"/>
        <v>99.95798319327731</v>
      </c>
      <c r="P72" s="94">
        <f t="shared" si="4"/>
        <v>1</v>
      </c>
      <c r="Q72" s="116"/>
      <c r="R72" s="93"/>
      <c r="S72" s="112"/>
      <c r="T72" s="113"/>
    </row>
    <row r="73" spans="1:20" ht="30">
      <c r="A73" s="81" t="s">
        <v>207</v>
      </c>
      <c r="B73" s="92" t="s">
        <v>114</v>
      </c>
      <c r="C73" s="70">
        <f>SUM(C74:C78)</f>
        <v>52200000</v>
      </c>
      <c r="D73" s="70">
        <f aca="true" t="shared" si="33" ref="D73:M73">SUM(D74:D78)</f>
        <v>0</v>
      </c>
      <c r="E73" s="70">
        <f t="shared" si="33"/>
        <v>0</v>
      </c>
      <c r="F73" s="70">
        <f t="shared" si="33"/>
        <v>18450000</v>
      </c>
      <c r="G73" s="70">
        <f t="shared" si="33"/>
        <v>18450000</v>
      </c>
      <c r="H73" s="70">
        <f t="shared" si="33"/>
        <v>18450000</v>
      </c>
      <c r="I73" s="70">
        <f t="shared" si="33"/>
        <v>70650000</v>
      </c>
      <c r="J73" s="70">
        <f t="shared" si="33"/>
        <v>21286701</v>
      </c>
      <c r="K73" s="89">
        <f t="shared" si="33"/>
        <v>64108981</v>
      </c>
      <c r="L73" s="89">
        <f t="shared" si="33"/>
        <v>21286701</v>
      </c>
      <c r="M73" s="70">
        <f t="shared" si="33"/>
        <v>64108981</v>
      </c>
      <c r="N73" s="50">
        <f t="shared" si="28"/>
        <v>90.74165746638359</v>
      </c>
      <c r="O73" s="50">
        <f t="shared" si="29"/>
        <v>90.74165746638359</v>
      </c>
      <c r="P73" s="94">
        <f t="shared" si="4"/>
        <v>1</v>
      </c>
      <c r="Q73" s="116"/>
      <c r="R73" s="93"/>
      <c r="S73" s="112"/>
      <c r="T73" s="113"/>
    </row>
    <row r="74" spans="1:20" ht="20.25">
      <c r="A74" s="82" t="s">
        <v>208</v>
      </c>
      <c r="B74" s="95" t="s">
        <v>115</v>
      </c>
      <c r="C74" s="51">
        <v>18000000</v>
      </c>
      <c r="D74" s="53">
        <v>0</v>
      </c>
      <c r="E74" s="53">
        <v>0</v>
      </c>
      <c r="F74" s="51">
        <v>0</v>
      </c>
      <c r="G74" s="71">
        <f t="shared" si="24"/>
        <v>0</v>
      </c>
      <c r="H74" s="51">
        <f>-6500000-964000</f>
        <v>-7464000</v>
      </c>
      <c r="I74" s="71">
        <f>+C74+H74</f>
        <v>10536000</v>
      </c>
      <c r="J74" s="73">
        <f>+'[3]Informe'!$L83</f>
        <v>0</v>
      </c>
      <c r="K74" s="73">
        <f>3487000+158000+3730000+2529500+630700</f>
        <v>10535200</v>
      </c>
      <c r="L74" s="73">
        <f>+'[3]Informe'!$R83</f>
        <v>0</v>
      </c>
      <c r="M74" s="71">
        <f>3487000+158000+2529500+4360700</f>
        <v>10535200</v>
      </c>
      <c r="N74" s="50">
        <f t="shared" si="28"/>
        <v>99.99240698557327</v>
      </c>
      <c r="O74" s="50">
        <f t="shared" si="29"/>
        <v>99.99240698557327</v>
      </c>
      <c r="P74" s="94">
        <f t="shared" si="4"/>
        <v>1</v>
      </c>
      <c r="Q74" s="116"/>
      <c r="R74" s="93"/>
      <c r="S74" s="112"/>
      <c r="T74" s="113"/>
    </row>
    <row r="75" spans="1:20" ht="12.75">
      <c r="A75" s="82" t="s">
        <v>209</v>
      </c>
      <c r="B75" s="95" t="s">
        <v>116</v>
      </c>
      <c r="C75" s="51">
        <v>6000000</v>
      </c>
      <c r="D75" s="53">
        <v>0</v>
      </c>
      <c r="E75" s="53">
        <v>0</v>
      </c>
      <c r="F75" s="51">
        <v>16500000</v>
      </c>
      <c r="G75" s="71">
        <f t="shared" si="24"/>
        <v>16500000</v>
      </c>
      <c r="H75" s="51">
        <f>13500000+16500000</f>
        <v>30000000</v>
      </c>
      <c r="I75" s="71">
        <f>+C75+H75</f>
        <v>36000000</v>
      </c>
      <c r="J75" s="73">
        <f>+'[3]Informe'!$L84</f>
        <v>11670701</v>
      </c>
      <c r="K75" s="73">
        <f>1375000+5145500+9313900+4170000+11670701</f>
        <v>31675101</v>
      </c>
      <c r="L75" s="73">
        <f>+'[3]Informe'!$R84</f>
        <v>11670701</v>
      </c>
      <c r="M75" s="71">
        <f>1375000+470000+3382500+10606900+4170000+11670701</f>
        <v>31675101</v>
      </c>
      <c r="N75" s="50">
        <f t="shared" si="28"/>
        <v>87.98639166666666</v>
      </c>
      <c r="O75" s="50">
        <f t="shared" si="29"/>
        <v>87.98639166666666</v>
      </c>
      <c r="P75" s="94">
        <f aca="true" t="shared" si="34" ref="P75:P130">+M75/K75</f>
        <v>1</v>
      </c>
      <c r="Q75" s="116"/>
      <c r="R75" s="93"/>
      <c r="S75" s="112"/>
      <c r="T75" s="113"/>
    </row>
    <row r="76" spans="1:20" ht="40.5">
      <c r="A76" s="82" t="s">
        <v>210</v>
      </c>
      <c r="B76" s="95" t="s">
        <v>117</v>
      </c>
      <c r="C76" s="51">
        <v>3000000</v>
      </c>
      <c r="D76" s="53">
        <v>0</v>
      </c>
      <c r="E76" s="53">
        <v>0</v>
      </c>
      <c r="F76" s="51">
        <v>0</v>
      </c>
      <c r="G76" s="71">
        <f t="shared" si="24"/>
        <v>0</v>
      </c>
      <c r="H76" s="51">
        <v>0</v>
      </c>
      <c r="I76" s="71">
        <f>+C76+H76</f>
        <v>3000000</v>
      </c>
      <c r="J76" s="73">
        <f>+'[3]Informe'!$L85</f>
        <v>0</v>
      </c>
      <c r="K76" s="73">
        <f>712570+672110</f>
        <v>1384680</v>
      </c>
      <c r="L76" s="73">
        <f>+'[3]Informe'!$R85</f>
        <v>0</v>
      </c>
      <c r="M76" s="71">
        <f>712570+672110</f>
        <v>1384680</v>
      </c>
      <c r="N76" s="50">
        <f t="shared" si="28"/>
        <v>46.156000000000006</v>
      </c>
      <c r="O76" s="50">
        <f t="shared" si="29"/>
        <v>46.156000000000006</v>
      </c>
      <c r="P76" s="94">
        <f t="shared" si="34"/>
        <v>1</v>
      </c>
      <c r="Q76" s="116"/>
      <c r="R76" s="93"/>
      <c r="S76" s="112"/>
      <c r="T76" s="113"/>
    </row>
    <row r="77" spans="1:20" ht="30">
      <c r="A77" s="82" t="s">
        <v>263</v>
      </c>
      <c r="B77" s="95" t="s">
        <v>118</v>
      </c>
      <c r="C77" s="51">
        <v>10000000</v>
      </c>
      <c r="D77" s="53">
        <v>0</v>
      </c>
      <c r="E77" s="53">
        <v>0</v>
      </c>
      <c r="F77" s="51">
        <v>0</v>
      </c>
      <c r="G77" s="71">
        <f t="shared" si="24"/>
        <v>0</v>
      </c>
      <c r="H77" s="51">
        <v>0</v>
      </c>
      <c r="I77" s="71">
        <f>+C77+H77</f>
        <v>10000000</v>
      </c>
      <c r="J77" s="73">
        <f>+'[3]Informe'!$L86</f>
        <v>0</v>
      </c>
      <c r="K77" s="73">
        <f>8400000+1000000</f>
        <v>9400000</v>
      </c>
      <c r="L77" s="73">
        <f>+'[3]Informe'!$R86</f>
        <v>0</v>
      </c>
      <c r="M77" s="71">
        <f>3800000+2800000+2800000</f>
        <v>9400000</v>
      </c>
      <c r="N77" s="50">
        <f t="shared" si="28"/>
        <v>94</v>
      </c>
      <c r="O77" s="50">
        <f t="shared" si="29"/>
        <v>94</v>
      </c>
      <c r="P77" s="94">
        <f t="shared" si="34"/>
        <v>1</v>
      </c>
      <c r="Q77" s="116"/>
      <c r="R77" s="93"/>
      <c r="S77" s="112"/>
      <c r="T77" s="113"/>
    </row>
    <row r="78" spans="1:20" ht="20.25">
      <c r="A78" s="82" t="s">
        <v>211</v>
      </c>
      <c r="B78" s="95" t="s">
        <v>119</v>
      </c>
      <c r="C78" s="51">
        <v>15200000</v>
      </c>
      <c r="D78" s="53">
        <v>0</v>
      </c>
      <c r="E78" s="53">
        <v>0</v>
      </c>
      <c r="F78" s="51">
        <v>1950000</v>
      </c>
      <c r="G78" s="71">
        <f t="shared" si="24"/>
        <v>1950000</v>
      </c>
      <c r="H78" s="51">
        <f>-7000000+964000+1950000</f>
        <v>-4086000</v>
      </c>
      <c r="I78" s="71">
        <f>+C78+H78</f>
        <v>11114000</v>
      </c>
      <c r="J78" s="73">
        <f>+'[3]Informe'!$L87</f>
        <v>9616000</v>
      </c>
      <c r="K78" s="73">
        <f>500000+348000+400000+250000+9616000</f>
        <v>11114000</v>
      </c>
      <c r="L78" s="73">
        <f>+'[3]Informe'!$R87</f>
        <v>9616000</v>
      </c>
      <c r="M78" s="71">
        <f>500000+348000+400000+250000+9616000</f>
        <v>11114000</v>
      </c>
      <c r="N78" s="50">
        <f t="shared" si="28"/>
        <v>100</v>
      </c>
      <c r="O78" s="50">
        <f t="shared" si="29"/>
        <v>100</v>
      </c>
      <c r="P78" s="94">
        <f t="shared" si="34"/>
        <v>1</v>
      </c>
      <c r="Q78" s="116"/>
      <c r="R78" s="93"/>
      <c r="S78" s="112"/>
      <c r="T78" s="113"/>
    </row>
    <row r="79" spans="1:20" ht="12.75">
      <c r="A79" s="81" t="s">
        <v>212</v>
      </c>
      <c r="B79" s="92" t="s">
        <v>38</v>
      </c>
      <c r="C79" s="70">
        <f>+C80</f>
        <v>66750000</v>
      </c>
      <c r="D79" s="70">
        <f aca="true" t="shared" si="35" ref="D79:M80">+D80</f>
        <v>0</v>
      </c>
      <c r="E79" s="70">
        <f t="shared" si="35"/>
        <v>0</v>
      </c>
      <c r="F79" s="70">
        <f t="shared" si="35"/>
        <v>0</v>
      </c>
      <c r="G79" s="70">
        <f t="shared" si="35"/>
        <v>0</v>
      </c>
      <c r="H79" s="70">
        <f t="shared" si="35"/>
        <v>0</v>
      </c>
      <c r="I79" s="70">
        <f t="shared" si="35"/>
        <v>66750000</v>
      </c>
      <c r="J79" s="70">
        <f t="shared" si="35"/>
        <v>0</v>
      </c>
      <c r="K79" s="89">
        <f t="shared" si="35"/>
        <v>66742649</v>
      </c>
      <c r="L79" s="70">
        <f t="shared" si="35"/>
        <v>0</v>
      </c>
      <c r="M79" s="70">
        <f t="shared" si="35"/>
        <v>66742649</v>
      </c>
      <c r="N79" s="50">
        <f t="shared" si="28"/>
        <v>99.9889872659176</v>
      </c>
      <c r="O79" s="50">
        <f t="shared" si="29"/>
        <v>99.9889872659176</v>
      </c>
      <c r="P79" s="94">
        <f t="shared" si="34"/>
        <v>1</v>
      </c>
      <c r="Q79" s="116"/>
      <c r="R79" s="93"/>
      <c r="S79" s="112"/>
      <c r="T79" s="113"/>
    </row>
    <row r="80" spans="1:20" ht="12.75">
      <c r="A80" s="81" t="s">
        <v>213</v>
      </c>
      <c r="B80" s="92" t="s">
        <v>54</v>
      </c>
      <c r="C80" s="70">
        <f>+C81</f>
        <v>66750000</v>
      </c>
      <c r="D80" s="70">
        <f t="shared" si="35"/>
        <v>0</v>
      </c>
      <c r="E80" s="70">
        <f t="shared" si="35"/>
        <v>0</v>
      </c>
      <c r="F80" s="70">
        <f t="shared" si="35"/>
        <v>0</v>
      </c>
      <c r="G80" s="70">
        <f t="shared" si="35"/>
        <v>0</v>
      </c>
      <c r="H80" s="70">
        <f t="shared" si="35"/>
        <v>0</v>
      </c>
      <c r="I80" s="70">
        <f t="shared" si="35"/>
        <v>66750000</v>
      </c>
      <c r="J80" s="70">
        <f t="shared" si="35"/>
        <v>0</v>
      </c>
      <c r="K80" s="89">
        <f t="shared" si="35"/>
        <v>66742649</v>
      </c>
      <c r="L80" s="70">
        <f t="shared" si="35"/>
        <v>0</v>
      </c>
      <c r="M80" s="70">
        <f t="shared" si="35"/>
        <v>66742649</v>
      </c>
      <c r="N80" s="50">
        <f t="shared" si="28"/>
        <v>99.9889872659176</v>
      </c>
      <c r="O80" s="50">
        <f t="shared" si="29"/>
        <v>99.9889872659176</v>
      </c>
      <c r="P80" s="94">
        <f t="shared" si="34"/>
        <v>1</v>
      </c>
      <c r="Q80" s="116"/>
      <c r="R80" s="93"/>
      <c r="S80" s="112"/>
      <c r="T80" s="113"/>
    </row>
    <row r="81" spans="1:20" ht="12.75">
      <c r="A81" s="82" t="s">
        <v>214</v>
      </c>
      <c r="B81" s="95" t="s">
        <v>55</v>
      </c>
      <c r="C81" s="51">
        <v>66750000</v>
      </c>
      <c r="D81" s="53">
        <v>0</v>
      </c>
      <c r="E81" s="53">
        <v>0</v>
      </c>
      <c r="F81" s="51">
        <v>0</v>
      </c>
      <c r="G81" s="71">
        <f>+D81+E81+F81</f>
        <v>0</v>
      </c>
      <c r="H81" s="51">
        <v>0</v>
      </c>
      <c r="I81" s="71">
        <f>+C81+H81</f>
        <v>66750000</v>
      </c>
      <c r="J81" s="73">
        <f>+'[3]Informe'!$L$90</f>
        <v>0</v>
      </c>
      <c r="K81" s="73">
        <v>66742649</v>
      </c>
      <c r="L81" s="73">
        <f>+'[3]Informe'!$R$90</f>
        <v>0</v>
      </c>
      <c r="M81" s="71">
        <v>66742649</v>
      </c>
      <c r="N81" s="50">
        <f t="shared" si="28"/>
        <v>99.9889872659176</v>
      </c>
      <c r="O81" s="50">
        <f t="shared" si="29"/>
        <v>99.9889872659176</v>
      </c>
      <c r="P81" s="94">
        <f t="shared" si="34"/>
        <v>1</v>
      </c>
      <c r="Q81" s="116"/>
      <c r="R81" s="93"/>
      <c r="S81" s="112"/>
      <c r="T81" s="113"/>
    </row>
    <row r="82" spans="1:20" ht="30">
      <c r="A82" s="81" t="s">
        <v>215</v>
      </c>
      <c r="B82" s="92" t="s">
        <v>120</v>
      </c>
      <c r="C82" s="70">
        <f>+C84+C88</f>
        <v>167000000</v>
      </c>
      <c r="D82" s="70">
        <f aca="true" t="shared" si="36" ref="D82:M82">+D84+D88</f>
        <v>0</v>
      </c>
      <c r="E82" s="70">
        <f t="shared" si="36"/>
        <v>0</v>
      </c>
      <c r="F82" s="70">
        <f t="shared" si="36"/>
        <v>-1000000</v>
      </c>
      <c r="G82" s="70">
        <f t="shared" si="36"/>
        <v>-1000000</v>
      </c>
      <c r="H82" s="70">
        <f t="shared" si="36"/>
        <v>-80212000</v>
      </c>
      <c r="I82" s="70">
        <f t="shared" si="36"/>
        <v>86788000</v>
      </c>
      <c r="J82" s="70">
        <f t="shared" si="36"/>
        <v>11000000</v>
      </c>
      <c r="K82" s="89">
        <f t="shared" si="36"/>
        <v>78863096</v>
      </c>
      <c r="L82" s="89">
        <f t="shared" si="36"/>
        <v>5000000</v>
      </c>
      <c r="M82" s="70">
        <f t="shared" si="36"/>
        <v>72863096</v>
      </c>
      <c r="N82" s="50">
        <f t="shared" si="28"/>
        <v>90.86866387058119</v>
      </c>
      <c r="O82" s="50">
        <f t="shared" si="29"/>
        <v>83.95526570493617</v>
      </c>
      <c r="P82" s="94">
        <f t="shared" si="34"/>
        <v>0.9239187870585248</v>
      </c>
      <c r="Q82" s="116"/>
      <c r="R82" s="93"/>
      <c r="S82" s="112"/>
      <c r="T82" s="113"/>
    </row>
    <row r="83" spans="1:20" ht="12.75">
      <c r="A83" s="81" t="s">
        <v>216</v>
      </c>
      <c r="B83" s="92" t="s">
        <v>121</v>
      </c>
      <c r="C83" s="72">
        <f>+C84</f>
        <v>160400000</v>
      </c>
      <c r="D83" s="72">
        <f aca="true" t="shared" si="37" ref="D83:M83">+D84</f>
        <v>0</v>
      </c>
      <c r="E83" s="72">
        <f t="shared" si="37"/>
        <v>0</v>
      </c>
      <c r="F83" s="72">
        <f t="shared" si="37"/>
        <v>-1000000</v>
      </c>
      <c r="G83" s="72">
        <f t="shared" si="37"/>
        <v>-1000000</v>
      </c>
      <c r="H83" s="72">
        <f t="shared" si="37"/>
        <v>-80212000</v>
      </c>
      <c r="I83" s="72">
        <f t="shared" si="37"/>
        <v>80188000</v>
      </c>
      <c r="J83" s="72">
        <f t="shared" si="37"/>
        <v>5000000</v>
      </c>
      <c r="K83" s="102">
        <f t="shared" si="37"/>
        <v>72863096</v>
      </c>
      <c r="L83" s="102">
        <f t="shared" si="37"/>
        <v>5000000</v>
      </c>
      <c r="M83" s="72">
        <f t="shared" si="37"/>
        <v>72863096</v>
      </c>
      <c r="N83" s="50">
        <f t="shared" si="28"/>
        <v>90.8653364593206</v>
      </c>
      <c r="O83" s="50">
        <f t="shared" si="29"/>
        <v>90.8653364593206</v>
      </c>
      <c r="P83" s="94">
        <f t="shared" si="34"/>
        <v>1</v>
      </c>
      <c r="Q83" s="116"/>
      <c r="R83" s="93"/>
      <c r="S83" s="112"/>
      <c r="T83" s="113"/>
    </row>
    <row r="84" spans="1:20" ht="12.75">
      <c r="A84" s="81" t="s">
        <v>217</v>
      </c>
      <c r="B84" s="92" t="s">
        <v>122</v>
      </c>
      <c r="C84" s="72">
        <f>SUM(C85:C87)</f>
        <v>160400000</v>
      </c>
      <c r="D84" s="72">
        <f aca="true" t="shared" si="38" ref="D84:M84">SUM(D85:D87)</f>
        <v>0</v>
      </c>
      <c r="E84" s="72">
        <f t="shared" si="38"/>
        <v>0</v>
      </c>
      <c r="F84" s="72">
        <f t="shared" si="38"/>
        <v>-1000000</v>
      </c>
      <c r="G84" s="72">
        <f t="shared" si="38"/>
        <v>-1000000</v>
      </c>
      <c r="H84" s="72">
        <f t="shared" si="38"/>
        <v>-80212000</v>
      </c>
      <c r="I84" s="72">
        <f t="shared" si="38"/>
        <v>80188000</v>
      </c>
      <c r="J84" s="72">
        <f t="shared" si="38"/>
        <v>5000000</v>
      </c>
      <c r="K84" s="102">
        <f t="shared" si="38"/>
        <v>72863096</v>
      </c>
      <c r="L84" s="102">
        <f t="shared" si="38"/>
        <v>5000000</v>
      </c>
      <c r="M84" s="72">
        <f t="shared" si="38"/>
        <v>72863096</v>
      </c>
      <c r="N84" s="50">
        <f t="shared" si="28"/>
        <v>90.8653364593206</v>
      </c>
      <c r="O84" s="50">
        <f t="shared" si="29"/>
        <v>90.8653364593206</v>
      </c>
      <c r="P84" s="94">
        <f t="shared" si="34"/>
        <v>1</v>
      </c>
      <c r="Q84" s="116"/>
      <c r="R84" s="93"/>
      <c r="S84" s="112"/>
      <c r="T84" s="113"/>
    </row>
    <row r="85" spans="1:20" ht="20.25">
      <c r="A85" s="82" t="s">
        <v>218</v>
      </c>
      <c r="B85" s="95" t="s">
        <v>123</v>
      </c>
      <c r="C85" s="51">
        <v>27000000</v>
      </c>
      <c r="D85" s="53">
        <v>0</v>
      </c>
      <c r="E85" s="53">
        <v>0</v>
      </c>
      <c r="F85" s="51">
        <v>0</v>
      </c>
      <c r="G85" s="71">
        <f>+D85+E85+F85</f>
        <v>0</v>
      </c>
      <c r="H85" s="51">
        <v>-3135000</v>
      </c>
      <c r="I85" s="71">
        <f>+C85+H85</f>
        <v>23865000</v>
      </c>
      <c r="J85" s="73">
        <f>+'[3]Informe'!$L42</f>
        <v>0</v>
      </c>
      <c r="K85" s="73">
        <v>23864700</v>
      </c>
      <c r="L85" s="73">
        <f>+'[3]Informe'!$R42</f>
        <v>0</v>
      </c>
      <c r="M85" s="71">
        <v>23864700</v>
      </c>
      <c r="N85" s="50">
        <f t="shared" si="28"/>
        <v>99.99874292897549</v>
      </c>
      <c r="O85" s="50">
        <f t="shared" si="29"/>
        <v>99.99874292897549</v>
      </c>
      <c r="P85" s="94">
        <f t="shared" si="34"/>
        <v>1</v>
      </c>
      <c r="Q85" s="116"/>
      <c r="R85" s="93"/>
      <c r="S85" s="112"/>
      <c r="T85" s="113"/>
    </row>
    <row r="86" spans="1:20" ht="15.75" customHeight="1">
      <c r="A86" s="82" t="s">
        <v>219</v>
      </c>
      <c r="B86" s="95" t="s">
        <v>124</v>
      </c>
      <c r="C86" s="51">
        <v>12000000</v>
      </c>
      <c r="D86" s="53">
        <v>0</v>
      </c>
      <c r="E86" s="53">
        <v>0</v>
      </c>
      <c r="F86" s="51">
        <v>-6000000</v>
      </c>
      <c r="G86" s="71">
        <f>+D86+E86+F86</f>
        <v>-6000000</v>
      </c>
      <c r="H86" s="51">
        <f>37000000-6000000</f>
        <v>31000000</v>
      </c>
      <c r="I86" s="71">
        <f>+C86+H86</f>
        <v>43000000</v>
      </c>
      <c r="J86" s="73">
        <f>+'[3]Informe'!$L43</f>
        <v>0</v>
      </c>
      <c r="K86" s="73">
        <f>30734000+4942000</f>
        <v>35676000</v>
      </c>
      <c r="L86" s="73">
        <f>+'[3]Informe'!$R43</f>
        <v>0</v>
      </c>
      <c r="M86" s="71">
        <f>30734000+4942000</f>
        <v>35676000</v>
      </c>
      <c r="N86" s="50">
        <f t="shared" si="28"/>
        <v>82.96744186046512</v>
      </c>
      <c r="O86" s="50">
        <f t="shared" si="29"/>
        <v>82.96744186046512</v>
      </c>
      <c r="P86" s="94">
        <f t="shared" si="34"/>
        <v>1</v>
      </c>
      <c r="Q86" s="116"/>
      <c r="R86" s="93"/>
      <c r="S86" s="112"/>
      <c r="T86" s="113"/>
    </row>
    <row r="87" spans="1:20" ht="13.5" customHeight="1">
      <c r="A87" s="82" t="s">
        <v>220</v>
      </c>
      <c r="B87" s="95" t="s">
        <v>125</v>
      </c>
      <c r="C87" s="51">
        <v>121400000</v>
      </c>
      <c r="D87" s="53">
        <v>0</v>
      </c>
      <c r="E87" s="53">
        <v>0</v>
      </c>
      <c r="F87" s="71">
        <v>5000000</v>
      </c>
      <c r="G87" s="71">
        <f>+D87+E87+F87</f>
        <v>5000000</v>
      </c>
      <c r="H87" s="51">
        <f>-113077000+5000000</f>
        <v>-108077000</v>
      </c>
      <c r="I87" s="71">
        <f>+C87+H87</f>
        <v>13323000</v>
      </c>
      <c r="J87" s="73">
        <f>+'[3]Informe'!$L44</f>
        <v>5000000</v>
      </c>
      <c r="K87" s="73">
        <f>6287296+2035100+5000000</f>
        <v>13322396</v>
      </c>
      <c r="L87" s="73">
        <f>+'[3]Informe'!$R44</f>
        <v>5000000</v>
      </c>
      <c r="M87" s="71">
        <f>6287296+2035100+5000000</f>
        <v>13322396</v>
      </c>
      <c r="N87" s="50">
        <f t="shared" si="28"/>
        <v>99.99546648652706</v>
      </c>
      <c r="O87" s="50">
        <f t="shared" si="29"/>
        <v>99.99546648652706</v>
      </c>
      <c r="P87" s="94">
        <f t="shared" si="34"/>
        <v>1</v>
      </c>
      <c r="Q87" s="116"/>
      <c r="R87" s="93"/>
      <c r="S87" s="112"/>
      <c r="T87" s="113"/>
    </row>
    <row r="88" spans="1:20" ht="12.75">
      <c r="A88" s="81" t="s">
        <v>221</v>
      </c>
      <c r="B88" s="92" t="s">
        <v>126</v>
      </c>
      <c r="C88" s="70">
        <f>+C89</f>
        <v>6600000</v>
      </c>
      <c r="D88" s="70">
        <f aca="true" t="shared" si="39" ref="D88:M88">+D89</f>
        <v>0</v>
      </c>
      <c r="E88" s="70">
        <f t="shared" si="39"/>
        <v>0</v>
      </c>
      <c r="F88" s="70">
        <f t="shared" si="39"/>
        <v>0</v>
      </c>
      <c r="G88" s="70">
        <f t="shared" si="39"/>
        <v>0</v>
      </c>
      <c r="H88" s="70">
        <f t="shared" si="39"/>
        <v>0</v>
      </c>
      <c r="I88" s="70">
        <f t="shared" si="39"/>
        <v>6600000</v>
      </c>
      <c r="J88" s="70">
        <f t="shared" si="39"/>
        <v>6000000</v>
      </c>
      <c r="K88" s="89">
        <f t="shared" si="39"/>
        <v>6000000</v>
      </c>
      <c r="L88" s="73">
        <f>+'[2]Sheet'!$H91</f>
        <v>0</v>
      </c>
      <c r="M88" s="70">
        <f t="shared" si="39"/>
        <v>0</v>
      </c>
      <c r="N88" s="50">
        <f t="shared" si="28"/>
        <v>90.9090909090909</v>
      </c>
      <c r="O88" s="50">
        <f t="shared" si="29"/>
        <v>0</v>
      </c>
      <c r="P88" s="94">
        <v>0</v>
      </c>
      <c r="Q88" s="116"/>
      <c r="R88" s="93"/>
      <c r="S88" s="112"/>
      <c r="T88" s="113"/>
    </row>
    <row r="89" spans="1:20" ht="30">
      <c r="A89" s="82" t="s">
        <v>222</v>
      </c>
      <c r="B89" s="95" t="s">
        <v>127</v>
      </c>
      <c r="C89" s="51">
        <v>6600000</v>
      </c>
      <c r="D89" s="53">
        <v>0</v>
      </c>
      <c r="E89" s="53">
        <v>0</v>
      </c>
      <c r="F89" s="51">
        <v>0</v>
      </c>
      <c r="G89" s="71">
        <f>+D89+E89+F89</f>
        <v>0</v>
      </c>
      <c r="H89" s="51">
        <v>0</v>
      </c>
      <c r="I89" s="71">
        <f>+C89+H89</f>
        <v>6600000</v>
      </c>
      <c r="J89" s="73">
        <f>+'[3]Informe'!$L$46</f>
        <v>6000000</v>
      </c>
      <c r="K89" s="73">
        <v>6000000</v>
      </c>
      <c r="L89" s="73">
        <f>+'[3]Informe'!$R$46</f>
        <v>0</v>
      </c>
      <c r="M89" s="71">
        <v>0</v>
      </c>
      <c r="N89" s="50">
        <f t="shared" si="28"/>
        <v>90.9090909090909</v>
      </c>
      <c r="O89" s="50">
        <f t="shared" si="29"/>
        <v>0</v>
      </c>
      <c r="P89" s="94">
        <v>0</v>
      </c>
      <c r="Q89" s="116"/>
      <c r="R89" s="93"/>
      <c r="S89" s="112"/>
      <c r="T89" s="113"/>
    </row>
    <row r="90" spans="1:20" ht="20.25">
      <c r="A90" s="81" t="s">
        <v>223</v>
      </c>
      <c r="B90" s="92" t="s">
        <v>128</v>
      </c>
      <c r="C90" s="72">
        <f>+C91</f>
        <v>1435800000</v>
      </c>
      <c r="D90" s="72">
        <f aca="true" t="shared" si="40" ref="D90:M91">+D91</f>
        <v>0</v>
      </c>
      <c r="E90" s="72">
        <f t="shared" si="40"/>
        <v>0</v>
      </c>
      <c r="F90" s="72">
        <f t="shared" si="40"/>
        <v>0</v>
      </c>
      <c r="G90" s="72">
        <f t="shared" si="40"/>
        <v>0</v>
      </c>
      <c r="H90" s="72">
        <f t="shared" si="40"/>
        <v>0</v>
      </c>
      <c r="I90" s="72">
        <f t="shared" si="40"/>
        <v>1435800000</v>
      </c>
      <c r="J90" s="72">
        <f t="shared" si="40"/>
        <v>56435798</v>
      </c>
      <c r="K90" s="102">
        <f t="shared" si="40"/>
        <v>1407793245</v>
      </c>
      <c r="L90" s="102">
        <f t="shared" si="40"/>
        <v>186887680</v>
      </c>
      <c r="M90" s="72">
        <f t="shared" si="40"/>
        <v>1377340554</v>
      </c>
      <c r="N90" s="50">
        <f t="shared" si="28"/>
        <v>98.04939720016715</v>
      </c>
      <c r="O90" s="50">
        <f t="shared" si="29"/>
        <v>95.92844086920184</v>
      </c>
      <c r="P90" s="94">
        <f t="shared" si="34"/>
        <v>0.9783684918874576</v>
      </c>
      <c r="Q90" s="116"/>
      <c r="R90" s="93"/>
      <c r="S90" s="112"/>
      <c r="T90" s="113"/>
    </row>
    <row r="91" spans="1:20" ht="20.25">
      <c r="A91" s="81" t="s">
        <v>224</v>
      </c>
      <c r="B91" s="92" t="s">
        <v>129</v>
      </c>
      <c r="C91" s="72">
        <f>+C92</f>
        <v>1435800000</v>
      </c>
      <c r="D91" s="72">
        <f t="shared" si="40"/>
        <v>0</v>
      </c>
      <c r="E91" s="72">
        <f t="shared" si="40"/>
        <v>0</v>
      </c>
      <c r="F91" s="72">
        <f t="shared" si="40"/>
        <v>0</v>
      </c>
      <c r="G91" s="72">
        <f t="shared" si="40"/>
        <v>0</v>
      </c>
      <c r="H91" s="72">
        <f t="shared" si="40"/>
        <v>0</v>
      </c>
      <c r="I91" s="72">
        <f t="shared" si="40"/>
        <v>1435800000</v>
      </c>
      <c r="J91" s="72">
        <f t="shared" si="40"/>
        <v>56435798</v>
      </c>
      <c r="K91" s="102">
        <f t="shared" si="40"/>
        <v>1407793245</v>
      </c>
      <c r="L91" s="102">
        <f t="shared" si="40"/>
        <v>186887680</v>
      </c>
      <c r="M91" s="72">
        <f t="shared" si="40"/>
        <v>1377340554</v>
      </c>
      <c r="N91" s="50">
        <f t="shared" si="28"/>
        <v>98.04939720016715</v>
      </c>
      <c r="O91" s="50">
        <f t="shared" si="29"/>
        <v>95.92844086920184</v>
      </c>
      <c r="P91" s="94">
        <f t="shared" si="34"/>
        <v>0.9783684918874576</v>
      </c>
      <c r="Q91" s="116"/>
      <c r="R91" s="93"/>
      <c r="S91" s="112"/>
      <c r="T91" s="113"/>
    </row>
    <row r="92" spans="1:20" ht="20.25">
      <c r="A92" s="81" t="s">
        <v>225</v>
      </c>
      <c r="B92" s="92" t="s">
        <v>129</v>
      </c>
      <c r="C92" s="72">
        <f>+C93+C99+C107+C110+C112+C119</f>
        <v>1435800000</v>
      </c>
      <c r="D92" s="72">
        <f aca="true" t="shared" si="41" ref="D92:M92">+D93+D99+D107+D110+D112+D119</f>
        <v>0</v>
      </c>
      <c r="E92" s="72">
        <f t="shared" si="41"/>
        <v>0</v>
      </c>
      <c r="F92" s="72">
        <f t="shared" si="41"/>
        <v>0</v>
      </c>
      <c r="G92" s="72">
        <f t="shared" si="41"/>
        <v>0</v>
      </c>
      <c r="H92" s="72">
        <f t="shared" si="41"/>
        <v>0</v>
      </c>
      <c r="I92" s="72">
        <f t="shared" si="41"/>
        <v>1435800000</v>
      </c>
      <c r="J92" s="72">
        <f t="shared" si="41"/>
        <v>56435798</v>
      </c>
      <c r="K92" s="102">
        <f t="shared" si="41"/>
        <v>1407793245</v>
      </c>
      <c r="L92" s="102">
        <f t="shared" si="41"/>
        <v>186887680</v>
      </c>
      <c r="M92" s="72">
        <f t="shared" si="41"/>
        <v>1377340554</v>
      </c>
      <c r="N92" s="50">
        <f t="shared" si="28"/>
        <v>98.04939720016715</v>
      </c>
      <c r="O92" s="50">
        <f t="shared" si="29"/>
        <v>95.92844086920184</v>
      </c>
      <c r="P92" s="94">
        <f t="shared" si="34"/>
        <v>0.9783684918874576</v>
      </c>
      <c r="Q92" s="116"/>
      <c r="R92" s="93"/>
      <c r="S92" s="112"/>
      <c r="T92" s="113"/>
    </row>
    <row r="93" spans="1:20" ht="40.5">
      <c r="A93" s="81" t="s">
        <v>226</v>
      </c>
      <c r="B93" s="92" t="s">
        <v>93</v>
      </c>
      <c r="C93" s="70">
        <f>SUM(C94:C98)</f>
        <v>135400000</v>
      </c>
      <c r="D93" s="70">
        <f aca="true" t="shared" si="42" ref="D93:M93">SUM(D94:D98)</f>
        <v>0</v>
      </c>
      <c r="E93" s="70">
        <f t="shared" si="42"/>
        <v>0</v>
      </c>
      <c r="F93" s="70">
        <f t="shared" si="42"/>
        <v>-4253000</v>
      </c>
      <c r="G93" s="70">
        <f t="shared" si="42"/>
        <v>-4253000</v>
      </c>
      <c r="H93" s="70">
        <f t="shared" si="42"/>
        <v>-8753000</v>
      </c>
      <c r="I93" s="70">
        <f t="shared" si="42"/>
        <v>126647000</v>
      </c>
      <c r="J93" s="70">
        <f t="shared" si="42"/>
        <v>14854453</v>
      </c>
      <c r="K93" s="89">
        <f t="shared" si="42"/>
        <v>119814920</v>
      </c>
      <c r="L93" s="89">
        <f t="shared" si="42"/>
        <v>22533855</v>
      </c>
      <c r="M93" s="70">
        <f t="shared" si="42"/>
        <v>119814910</v>
      </c>
      <c r="N93" s="50">
        <f t="shared" si="28"/>
        <v>94.60541505128428</v>
      </c>
      <c r="O93" s="50">
        <f t="shared" si="29"/>
        <v>94.60540715532149</v>
      </c>
      <c r="P93" s="94">
        <f t="shared" si="34"/>
        <v>0.9999999165379404</v>
      </c>
      <c r="Q93" s="116"/>
      <c r="R93" s="93"/>
      <c r="S93" s="112"/>
      <c r="T93" s="113"/>
    </row>
    <row r="94" spans="1:20" ht="26.25" customHeight="1">
      <c r="A94" s="82" t="s">
        <v>227</v>
      </c>
      <c r="B94" s="95" t="s">
        <v>94</v>
      </c>
      <c r="C94" s="51">
        <v>18500000</v>
      </c>
      <c r="D94" s="51">
        <v>0</v>
      </c>
      <c r="E94" s="51">
        <v>0</v>
      </c>
      <c r="F94" s="71">
        <v>-2653000</v>
      </c>
      <c r="G94" s="71">
        <f aca="true" t="shared" si="43" ref="G94:G121">+D94+E94+F94</f>
        <v>-2653000</v>
      </c>
      <c r="H94" s="51">
        <f>10000000+10000000-10000000-2653000</f>
        <v>7347000</v>
      </c>
      <c r="I94" s="71">
        <f aca="true" t="shared" si="44" ref="I94:I106">+C94+H94</f>
        <v>25847000</v>
      </c>
      <c r="J94" s="73">
        <f>+'[3]Informe'!$L95</f>
        <v>2862220</v>
      </c>
      <c r="K94" s="73">
        <f>10+10826610+1908900+5583625+1184700+872900+2862220</f>
        <v>23238965</v>
      </c>
      <c r="L94" s="73">
        <f>+'[3]Informe'!$R95</f>
        <v>2862220</v>
      </c>
      <c r="M94" s="71">
        <f>12905830+5413305+1184700+872900+2862220</f>
        <v>23238955</v>
      </c>
      <c r="N94" s="50">
        <f t="shared" si="28"/>
        <v>89.90971872944635</v>
      </c>
      <c r="O94" s="50">
        <f t="shared" si="29"/>
        <v>89.90968004023678</v>
      </c>
      <c r="P94" s="94">
        <f t="shared" si="34"/>
        <v>0.999999569688237</v>
      </c>
      <c r="Q94" s="116"/>
      <c r="R94" s="93"/>
      <c r="S94" s="112"/>
      <c r="T94" s="113"/>
    </row>
    <row r="95" spans="1:20" ht="40.5">
      <c r="A95" s="82" t="s">
        <v>228</v>
      </c>
      <c r="B95" s="95" t="s">
        <v>95</v>
      </c>
      <c r="C95" s="51">
        <v>27500000</v>
      </c>
      <c r="D95" s="51">
        <v>0</v>
      </c>
      <c r="E95" s="51">
        <v>0</v>
      </c>
      <c r="F95" s="71">
        <v>-1600000</v>
      </c>
      <c r="G95" s="71">
        <f t="shared" si="43"/>
        <v>-1600000</v>
      </c>
      <c r="H95" s="51">
        <f>-15000000-12500000+10000000+7648000-1600000</f>
        <v>-11452000</v>
      </c>
      <c r="I95" s="71">
        <f t="shared" si="44"/>
        <v>16048000</v>
      </c>
      <c r="J95" s="73">
        <f>+'[3]Informe'!$L96</f>
        <v>285600</v>
      </c>
      <c r="K95" s="73">
        <f>2200000+8546700+800000+285600</f>
        <v>11832300</v>
      </c>
      <c r="L95" s="73">
        <f>+'[3]Informe'!$R96</f>
        <v>4752300</v>
      </c>
      <c r="M95" s="71">
        <f>4930000+2150000+4752300</f>
        <v>11832300</v>
      </c>
      <c r="N95" s="50">
        <f>+K95/I95*100</f>
        <v>73.73068295114656</v>
      </c>
      <c r="O95" s="50">
        <f>+M95/I95*100</f>
        <v>73.73068295114656</v>
      </c>
      <c r="P95" s="94">
        <f t="shared" si="34"/>
        <v>1</v>
      </c>
      <c r="Q95" s="116"/>
      <c r="R95" s="93"/>
      <c r="S95" s="112"/>
      <c r="T95" s="113"/>
    </row>
    <row r="96" spans="1:20" ht="60.75">
      <c r="A96" s="82" t="s">
        <v>229</v>
      </c>
      <c r="B96" s="95" t="s">
        <v>96</v>
      </c>
      <c r="C96" s="51">
        <v>21790000</v>
      </c>
      <c r="D96" s="51">
        <v>0</v>
      </c>
      <c r="E96" s="51">
        <v>0</v>
      </c>
      <c r="F96" s="71">
        <v>0</v>
      </c>
      <c r="G96" s="71">
        <f t="shared" si="43"/>
        <v>0</v>
      </c>
      <c r="H96" s="51">
        <v>0</v>
      </c>
      <c r="I96" s="71">
        <f t="shared" si="44"/>
        <v>21790000</v>
      </c>
      <c r="J96" s="73">
        <f>+'[3]Informe'!$L97</f>
        <v>0</v>
      </c>
      <c r="K96" s="73">
        <f>1500000+14877000+5400000+9100</f>
        <v>21786100</v>
      </c>
      <c r="L96" s="73">
        <f>+'[3]Informe'!$R97</f>
        <v>0</v>
      </c>
      <c r="M96" s="71">
        <f>1500000+13413000+2964000+1950000+1959100</f>
        <v>21786100</v>
      </c>
      <c r="N96" s="50">
        <f t="shared" si="28"/>
        <v>99.98210188159706</v>
      </c>
      <c r="O96" s="50">
        <f t="shared" si="29"/>
        <v>99.98210188159706</v>
      </c>
      <c r="P96" s="94">
        <f t="shared" si="34"/>
        <v>1</v>
      </c>
      <c r="Q96" s="116"/>
      <c r="R96" s="93"/>
      <c r="S96" s="112"/>
      <c r="T96" s="113"/>
    </row>
    <row r="97" spans="1:20" ht="30" customHeight="1">
      <c r="A97" s="82" t="s">
        <v>230</v>
      </c>
      <c r="B97" s="95" t="s">
        <v>130</v>
      </c>
      <c r="C97" s="51">
        <v>18110000</v>
      </c>
      <c r="D97" s="51">
        <v>0</v>
      </c>
      <c r="E97" s="51">
        <v>0</v>
      </c>
      <c r="F97" s="71">
        <v>0</v>
      </c>
      <c r="G97" s="71">
        <f t="shared" si="43"/>
        <v>0</v>
      </c>
      <c r="H97" s="51">
        <f>10000000+8000000</f>
        <v>18000000</v>
      </c>
      <c r="I97" s="71">
        <f t="shared" si="44"/>
        <v>36110000</v>
      </c>
      <c r="J97" s="73">
        <f>+'[3]Informe'!$L98</f>
        <v>11706633</v>
      </c>
      <c r="K97" s="73">
        <f>122000+442000+8923304+5583625+2357500+3606000+959000+893000+1513300+11706633</f>
        <v>36106362</v>
      </c>
      <c r="L97" s="73">
        <f>+'[3]Informe'!$R98</f>
        <v>14919335</v>
      </c>
      <c r="M97" s="71">
        <f>122000+442000+914680+9587937+4004312+2357500+556500+1008500+893000+1300598+14919335</f>
        <v>36106362</v>
      </c>
      <c r="N97" s="50">
        <f t="shared" si="28"/>
        <v>99.98992522846856</v>
      </c>
      <c r="O97" s="50">
        <f t="shared" si="29"/>
        <v>99.98992522846856</v>
      </c>
      <c r="P97" s="94">
        <f t="shared" si="34"/>
        <v>1</v>
      </c>
      <c r="Q97" s="116"/>
      <c r="R97" s="93"/>
      <c r="S97" s="112"/>
      <c r="T97" s="113"/>
    </row>
    <row r="98" spans="1:20" ht="12.75">
      <c r="A98" s="82" t="s">
        <v>231</v>
      </c>
      <c r="B98" s="95" t="s">
        <v>99</v>
      </c>
      <c r="C98" s="51">
        <v>49500000</v>
      </c>
      <c r="D98" s="51">
        <v>0</v>
      </c>
      <c r="E98" s="51">
        <v>0</v>
      </c>
      <c r="F98" s="71">
        <v>0</v>
      </c>
      <c r="G98" s="71">
        <f t="shared" si="43"/>
        <v>0</v>
      </c>
      <c r="H98" s="51">
        <f>-10000000-5000000-7648000</f>
        <v>-22648000</v>
      </c>
      <c r="I98" s="71">
        <f t="shared" si="44"/>
        <v>26852000</v>
      </c>
      <c r="J98" s="73">
        <f>+'[3]Informe'!$L99</f>
        <v>0</v>
      </c>
      <c r="K98" s="73">
        <f>1640000+22973997+2237196</f>
        <v>26851193</v>
      </c>
      <c r="L98" s="73">
        <f>+'[3]Informe'!$R99</f>
        <v>0</v>
      </c>
      <c r="M98" s="71">
        <f>1640000+22973997+2237196</f>
        <v>26851193</v>
      </c>
      <c r="N98" s="50">
        <f t="shared" si="28"/>
        <v>99.99699463727096</v>
      </c>
      <c r="O98" s="50">
        <f t="shared" si="29"/>
        <v>99.99699463727096</v>
      </c>
      <c r="P98" s="94">
        <f t="shared" si="34"/>
        <v>1</v>
      </c>
      <c r="Q98" s="116"/>
      <c r="R98" s="93"/>
      <c r="S98" s="112"/>
      <c r="T98" s="113"/>
    </row>
    <row r="99" spans="1:20" ht="20.25">
      <c r="A99" s="81" t="s">
        <v>232</v>
      </c>
      <c r="B99" s="92" t="s">
        <v>100</v>
      </c>
      <c r="C99" s="70">
        <f>SUM(C100:C106)</f>
        <v>132800000</v>
      </c>
      <c r="D99" s="70">
        <f aca="true" t="shared" si="45" ref="D99:M99">SUM(D100:D106)</f>
        <v>0</v>
      </c>
      <c r="E99" s="70">
        <f t="shared" si="45"/>
        <v>0</v>
      </c>
      <c r="F99" s="70">
        <f t="shared" si="45"/>
        <v>5653000</v>
      </c>
      <c r="G99" s="70">
        <f t="shared" si="45"/>
        <v>5653000</v>
      </c>
      <c r="H99" s="70">
        <f t="shared" si="45"/>
        <v>85981000</v>
      </c>
      <c r="I99" s="70">
        <f t="shared" si="45"/>
        <v>218781000</v>
      </c>
      <c r="J99" s="70">
        <f t="shared" si="45"/>
        <v>6500000</v>
      </c>
      <c r="K99" s="89">
        <f t="shared" si="45"/>
        <v>218747483</v>
      </c>
      <c r="L99" s="89">
        <f t="shared" si="45"/>
        <v>19145763</v>
      </c>
      <c r="M99" s="70">
        <f t="shared" si="45"/>
        <v>218747483</v>
      </c>
      <c r="N99" s="50">
        <f t="shared" si="28"/>
        <v>99.98468011390386</v>
      </c>
      <c r="O99" s="50">
        <f t="shared" si="29"/>
        <v>99.98468011390386</v>
      </c>
      <c r="P99" s="94">
        <f t="shared" si="34"/>
        <v>1</v>
      </c>
      <c r="Q99" s="117"/>
      <c r="R99" s="93"/>
      <c r="S99" s="112"/>
      <c r="T99" s="113"/>
    </row>
    <row r="100" spans="1:20" ht="16.5" customHeight="1">
      <c r="A100" s="82" t="s">
        <v>233</v>
      </c>
      <c r="B100" s="95" t="s">
        <v>131</v>
      </c>
      <c r="C100" s="51">
        <v>11000000</v>
      </c>
      <c r="D100" s="51">
        <v>0</v>
      </c>
      <c r="E100" s="51">
        <v>0</v>
      </c>
      <c r="F100" s="51">
        <v>0</v>
      </c>
      <c r="G100" s="71">
        <f t="shared" si="43"/>
        <v>0</v>
      </c>
      <c r="H100" s="51">
        <v>-2873000</v>
      </c>
      <c r="I100" s="71">
        <f t="shared" si="44"/>
        <v>8127000</v>
      </c>
      <c r="J100" s="73">
        <f>+'[3]Informe'!$L101</f>
        <v>0</v>
      </c>
      <c r="K100" s="73">
        <v>8126034</v>
      </c>
      <c r="L100" s="73">
        <f>+'[3]Informe'!$R101</f>
        <v>0</v>
      </c>
      <c r="M100" s="71">
        <f>4063017+4063017</f>
        <v>8126034</v>
      </c>
      <c r="N100" s="50">
        <f aca="true" t="shared" si="46" ref="N100:N106">+K100/I100*100</f>
        <v>99.98811369509045</v>
      </c>
      <c r="O100" s="50">
        <f aca="true" t="shared" si="47" ref="O100:O106">+M100/I100*100</f>
        <v>99.98811369509045</v>
      </c>
      <c r="P100" s="94">
        <f t="shared" si="34"/>
        <v>1</v>
      </c>
      <c r="Q100" s="115"/>
      <c r="R100" s="93"/>
      <c r="S100" s="112"/>
      <c r="T100" s="113"/>
    </row>
    <row r="101" spans="1:20" ht="25.5" customHeight="1">
      <c r="A101" s="82" t="s">
        <v>234</v>
      </c>
      <c r="B101" s="95" t="s">
        <v>132</v>
      </c>
      <c r="C101" s="51">
        <v>30100000</v>
      </c>
      <c r="D101" s="51">
        <v>0</v>
      </c>
      <c r="E101" s="51">
        <v>0</v>
      </c>
      <c r="F101" s="51">
        <v>0</v>
      </c>
      <c r="G101" s="71">
        <f t="shared" si="43"/>
        <v>0</v>
      </c>
      <c r="H101" s="51">
        <f>29000000-211000</f>
        <v>28789000</v>
      </c>
      <c r="I101" s="71">
        <f t="shared" si="44"/>
        <v>58889000</v>
      </c>
      <c r="J101" s="73">
        <f>+'[3]Informe'!$L102</f>
        <v>0</v>
      </c>
      <c r="K101" s="73">
        <f>27137760+2895000+28856000</f>
        <v>58888760</v>
      </c>
      <c r="L101" s="73">
        <f>+'[3]Informe'!$R102</f>
        <v>0</v>
      </c>
      <c r="M101" s="71">
        <f>13568880+16463880+27428000+1428000</f>
        <v>58888760</v>
      </c>
      <c r="N101" s="50">
        <f t="shared" si="46"/>
        <v>99.99959245359913</v>
      </c>
      <c r="O101" s="50">
        <f t="shared" si="47"/>
        <v>99.99959245359913</v>
      </c>
      <c r="P101" s="94">
        <f t="shared" si="34"/>
        <v>1</v>
      </c>
      <c r="Q101" s="118"/>
      <c r="R101" s="93"/>
      <c r="S101" s="112"/>
      <c r="T101" s="113"/>
    </row>
    <row r="102" spans="1:20" ht="20.25">
      <c r="A102" s="82" t="s">
        <v>235</v>
      </c>
      <c r="B102" s="95" t="s">
        <v>83</v>
      </c>
      <c r="C102" s="51">
        <v>5500000</v>
      </c>
      <c r="D102" s="51">
        <v>0</v>
      </c>
      <c r="E102" s="51">
        <v>0</v>
      </c>
      <c r="F102" s="51">
        <v>-877000</v>
      </c>
      <c r="G102" s="71">
        <f t="shared" si="43"/>
        <v>-877000</v>
      </c>
      <c r="H102" s="51">
        <f>10000000+19959000-877000</f>
        <v>29082000</v>
      </c>
      <c r="I102" s="71">
        <f t="shared" si="44"/>
        <v>34582000</v>
      </c>
      <c r="J102" s="73">
        <f>+'[3]Informe'!$L103</f>
        <v>0</v>
      </c>
      <c r="K102" s="73">
        <f>4490763+947000+9212100+19521262+410000</f>
        <v>34581125</v>
      </c>
      <c r="L102" s="73">
        <f>+'[3]Informe'!$R103</f>
        <v>0</v>
      </c>
      <c r="M102" s="71">
        <f>2245382+3192381+9212100+18866762+1064500</f>
        <v>34581125</v>
      </c>
      <c r="N102" s="50">
        <f t="shared" si="46"/>
        <v>99.9974697819675</v>
      </c>
      <c r="O102" s="50">
        <f t="shared" si="47"/>
        <v>99.9974697819675</v>
      </c>
      <c r="P102" s="94">
        <f t="shared" si="34"/>
        <v>1</v>
      </c>
      <c r="Q102" s="118"/>
      <c r="R102" s="93"/>
      <c r="S102" s="112"/>
      <c r="T102" s="113"/>
    </row>
    <row r="103" spans="1:20" ht="20.25">
      <c r="A103" s="82" t="s">
        <v>236</v>
      </c>
      <c r="B103" s="95" t="s">
        <v>133</v>
      </c>
      <c r="C103" s="51">
        <v>22000000</v>
      </c>
      <c r="D103" s="51">
        <v>0</v>
      </c>
      <c r="E103" s="51">
        <v>0</v>
      </c>
      <c r="F103" s="51">
        <v>0</v>
      </c>
      <c r="G103" s="71">
        <f t="shared" si="43"/>
        <v>0</v>
      </c>
      <c r="H103" s="51">
        <v>-1988000</v>
      </c>
      <c r="I103" s="71">
        <f t="shared" si="44"/>
        <v>20012000</v>
      </c>
      <c r="J103" s="73">
        <f>+'[3]Informe'!$L104</f>
        <v>0</v>
      </c>
      <c r="K103" s="73">
        <f>18552100+165000+120000+1174900</f>
        <v>20012000</v>
      </c>
      <c r="L103" s="73">
        <f>+'[3]Informe'!$R104</f>
        <v>0</v>
      </c>
      <c r="M103" s="71">
        <f>9276050+9441050+1234900+60000</f>
        <v>20012000</v>
      </c>
      <c r="N103" s="50">
        <f t="shared" si="46"/>
        <v>100</v>
      </c>
      <c r="O103" s="50">
        <f t="shared" si="47"/>
        <v>100</v>
      </c>
      <c r="P103" s="94">
        <f t="shared" si="34"/>
        <v>1</v>
      </c>
      <c r="Q103" s="118"/>
      <c r="R103" s="93"/>
      <c r="S103" s="112"/>
      <c r="T103" s="113"/>
    </row>
    <row r="104" spans="1:20" ht="30">
      <c r="A104" s="82" t="s">
        <v>237</v>
      </c>
      <c r="B104" s="95" t="s">
        <v>85</v>
      </c>
      <c r="C104" s="51">
        <v>18700000</v>
      </c>
      <c r="D104" s="51">
        <v>0</v>
      </c>
      <c r="E104" s="51">
        <v>0</v>
      </c>
      <c r="F104" s="51">
        <v>6530000</v>
      </c>
      <c r="G104" s="71">
        <f t="shared" si="43"/>
        <v>6530000</v>
      </c>
      <c r="H104" s="51">
        <f>10000000-585000+6530000</f>
        <v>15945000</v>
      </c>
      <c r="I104" s="71">
        <f t="shared" si="44"/>
        <v>34645000</v>
      </c>
      <c r="J104" s="73">
        <f>+'[3]Informe'!$L105</f>
        <v>6500000</v>
      </c>
      <c r="K104" s="73">
        <f>18512532+9601812+6500000</f>
        <v>34614344</v>
      </c>
      <c r="L104" s="73">
        <f>+'[3]Informe'!$R105</f>
        <v>6500000</v>
      </c>
      <c r="M104" s="71">
        <f>9256266+9256266+9601812+6500000</f>
        <v>34614344</v>
      </c>
      <c r="N104" s="50">
        <f t="shared" si="46"/>
        <v>99.9115139269736</v>
      </c>
      <c r="O104" s="50">
        <f t="shared" si="47"/>
        <v>99.9115139269736</v>
      </c>
      <c r="P104" s="94">
        <f t="shared" si="34"/>
        <v>1</v>
      </c>
      <c r="Q104" s="61"/>
      <c r="R104" s="93"/>
      <c r="S104" s="112"/>
      <c r="T104" s="113"/>
    </row>
    <row r="105" spans="1:20" ht="40.5">
      <c r="A105" s="82" t="s">
        <v>238</v>
      </c>
      <c r="B105" s="95" t="s">
        <v>134</v>
      </c>
      <c r="C105" s="51">
        <v>11000000</v>
      </c>
      <c r="D105" s="51">
        <v>0</v>
      </c>
      <c r="E105" s="51">
        <v>0</v>
      </c>
      <c r="F105" s="51">
        <v>0</v>
      </c>
      <c r="G105" s="71">
        <f t="shared" si="43"/>
        <v>0</v>
      </c>
      <c r="H105" s="51">
        <f>10000000-9094000</f>
        <v>906000</v>
      </c>
      <c r="I105" s="71">
        <f t="shared" si="44"/>
        <v>11906000</v>
      </c>
      <c r="J105" s="73">
        <f>+'[3]Informe'!$L106</f>
        <v>0</v>
      </c>
      <c r="K105" s="73">
        <f>10263750+452200+1190000</f>
        <v>11905950</v>
      </c>
      <c r="L105" s="73">
        <f>+'[3]Informe'!$R106</f>
        <v>0</v>
      </c>
      <c r="M105" s="71">
        <f>5131875+5131875+452200+1190000</f>
        <v>11905950</v>
      </c>
      <c r="N105" s="50">
        <f t="shared" si="46"/>
        <v>99.99958004367546</v>
      </c>
      <c r="O105" s="50">
        <f t="shared" si="47"/>
        <v>99.99958004367546</v>
      </c>
      <c r="P105" s="94">
        <f t="shared" si="34"/>
        <v>1</v>
      </c>
      <c r="Q105" s="119"/>
      <c r="R105" s="93"/>
      <c r="S105" s="112"/>
      <c r="T105" s="113"/>
    </row>
    <row r="106" spans="1:20" ht="12.75">
      <c r="A106" s="82" t="s">
        <v>239</v>
      </c>
      <c r="B106" s="95" t="s">
        <v>101</v>
      </c>
      <c r="C106" s="51">
        <v>34500000</v>
      </c>
      <c r="D106" s="51">
        <v>0</v>
      </c>
      <c r="E106" s="51">
        <v>0</v>
      </c>
      <c r="F106" s="51">
        <v>0</v>
      </c>
      <c r="G106" s="71">
        <f t="shared" si="43"/>
        <v>0</v>
      </c>
      <c r="H106" s="51">
        <f>21328000-5208000</f>
        <v>16120000</v>
      </c>
      <c r="I106" s="71">
        <f t="shared" si="44"/>
        <v>50620000</v>
      </c>
      <c r="J106" s="73">
        <f>+'[3]Informe'!$L107</f>
        <v>0</v>
      </c>
      <c r="K106" s="73">
        <f>21327745+4000000+6865000+18426525</f>
        <v>50619270</v>
      </c>
      <c r="L106" s="73">
        <f>+'[3]Informe'!$R107</f>
        <v>12645763</v>
      </c>
      <c r="M106" s="71">
        <f>10663872+4000000+10663873+3432500+9213262+12645763</f>
        <v>50619270</v>
      </c>
      <c r="N106" s="50">
        <f t="shared" si="46"/>
        <v>99.99855788225997</v>
      </c>
      <c r="O106" s="50">
        <f t="shared" si="47"/>
        <v>99.99855788225997</v>
      </c>
      <c r="P106" s="94">
        <f t="shared" si="34"/>
        <v>1</v>
      </c>
      <c r="Q106" s="61"/>
      <c r="R106" s="93"/>
      <c r="S106" s="112"/>
      <c r="T106" s="113"/>
    </row>
    <row r="107" spans="1:20" ht="60.75">
      <c r="A107" s="81" t="s">
        <v>240</v>
      </c>
      <c r="B107" s="92" t="s">
        <v>103</v>
      </c>
      <c r="C107" s="70">
        <f>SUM(C108:C109)</f>
        <v>48000000</v>
      </c>
      <c r="D107" s="70">
        <f aca="true" t="shared" si="48" ref="D107:M107">SUM(D108:D109)</f>
        <v>0</v>
      </c>
      <c r="E107" s="70">
        <f t="shared" si="48"/>
        <v>0</v>
      </c>
      <c r="F107" s="70">
        <f t="shared" si="48"/>
        <v>0</v>
      </c>
      <c r="G107" s="70">
        <f t="shared" si="48"/>
        <v>0</v>
      </c>
      <c r="H107" s="70">
        <f t="shared" si="48"/>
        <v>85000000</v>
      </c>
      <c r="I107" s="70">
        <f t="shared" si="48"/>
        <v>133000000</v>
      </c>
      <c r="J107" s="70">
        <f t="shared" si="48"/>
        <v>4349640</v>
      </c>
      <c r="K107" s="89">
        <f t="shared" si="48"/>
        <v>122387803</v>
      </c>
      <c r="L107" s="89">
        <f t="shared" si="48"/>
        <v>19071640</v>
      </c>
      <c r="M107" s="70">
        <f t="shared" si="48"/>
        <v>122387803</v>
      </c>
      <c r="N107" s="50">
        <f aca="true" t="shared" si="49" ref="N107:N112">+K107/I107*100</f>
        <v>92.0209045112782</v>
      </c>
      <c r="O107" s="50">
        <f aca="true" t="shared" si="50" ref="O107:O112">+M107/I107*100</f>
        <v>92.0209045112782</v>
      </c>
      <c r="P107" s="94">
        <f t="shared" si="34"/>
        <v>1</v>
      </c>
      <c r="Q107" s="120"/>
      <c r="R107" s="93"/>
      <c r="S107" s="112">
        <v>122387803</v>
      </c>
      <c r="T107" s="113"/>
    </row>
    <row r="108" spans="1:20" ht="30">
      <c r="A108" s="82" t="s">
        <v>241</v>
      </c>
      <c r="B108" s="95" t="s">
        <v>264</v>
      </c>
      <c r="C108" s="51">
        <v>42000000</v>
      </c>
      <c r="D108" s="51">
        <v>0</v>
      </c>
      <c r="E108" s="51">
        <v>0</v>
      </c>
      <c r="F108" s="83">
        <v>0</v>
      </c>
      <c r="G108" s="71">
        <f t="shared" si="43"/>
        <v>0</v>
      </c>
      <c r="H108" s="51">
        <f>49000000-13765000</f>
        <v>35235000</v>
      </c>
      <c r="I108" s="71">
        <f>+C108+H108</f>
        <v>77235000</v>
      </c>
      <c r="J108" s="73">
        <f>+'[3]Informe'!$L109+13456160</f>
        <v>13456160</v>
      </c>
      <c r="K108" s="73">
        <f>44578840-6000000+3400000+21800000+13456160</f>
        <v>77235000</v>
      </c>
      <c r="L108" s="73">
        <f>+'[3]Informe'!$R109+15115580</f>
        <v>27115580</v>
      </c>
      <c r="M108" s="51">
        <f>2578840+14740580+7000000+10000000+6000000+3800000+6000000+27115580</f>
        <v>77235000</v>
      </c>
      <c r="N108" s="50">
        <f t="shared" si="49"/>
        <v>100</v>
      </c>
      <c r="O108" s="50">
        <f t="shared" si="50"/>
        <v>100</v>
      </c>
      <c r="P108" s="94">
        <f t="shared" si="34"/>
        <v>1</v>
      </c>
      <c r="Q108" s="61"/>
      <c r="R108" s="93"/>
      <c r="S108" s="122">
        <f>+S107-K107</f>
        <v>0</v>
      </c>
      <c r="T108" s="113"/>
    </row>
    <row r="109" spans="1:20" ht="40.5">
      <c r="A109" s="82" t="s">
        <v>242</v>
      </c>
      <c r="B109" s="95" t="s">
        <v>265</v>
      </c>
      <c r="C109" s="84">
        <v>6000000</v>
      </c>
      <c r="D109" s="74"/>
      <c r="E109" s="74"/>
      <c r="F109" s="83">
        <v>0</v>
      </c>
      <c r="G109" s="71">
        <f t="shared" si="43"/>
        <v>0</v>
      </c>
      <c r="H109" s="71">
        <f>36000000+13765000</f>
        <v>49765000</v>
      </c>
      <c r="I109" s="71">
        <f>+C109+H109</f>
        <v>55765000</v>
      </c>
      <c r="J109" s="73">
        <f>+'[3]Informe'!$L110-13456160</f>
        <v>-9106520</v>
      </c>
      <c r="K109" s="84">
        <f>6000000+8740580+3532063+1183000+9106900+6030500+12124170+7542110-9106520</f>
        <v>45152803</v>
      </c>
      <c r="L109" s="73">
        <f>+'[3]Informe'!$R110-15115580</f>
        <v>-8043940</v>
      </c>
      <c r="M109" s="84">
        <f>2578840+3421160+9532063+183000+5106900+12030500+12802170+7542110-8043940</f>
        <v>45152803</v>
      </c>
      <c r="N109" s="50">
        <f t="shared" si="49"/>
        <v>80.96978929436027</v>
      </c>
      <c r="O109" s="50">
        <f t="shared" si="50"/>
        <v>80.96978929436027</v>
      </c>
      <c r="P109" s="94">
        <f t="shared" si="34"/>
        <v>1</v>
      </c>
      <c r="Q109" s="61"/>
      <c r="R109" s="93"/>
      <c r="S109" s="112">
        <f>+M108-K108</f>
        <v>0</v>
      </c>
      <c r="T109" s="113"/>
    </row>
    <row r="110" spans="1:20" ht="40.5">
      <c r="A110" s="81" t="s">
        <v>243</v>
      </c>
      <c r="B110" s="92" t="s">
        <v>106</v>
      </c>
      <c r="C110" s="70">
        <f>+C111</f>
        <v>19800000</v>
      </c>
      <c r="D110" s="70">
        <f aca="true" t="shared" si="51" ref="D110:M110">+D111</f>
        <v>0</v>
      </c>
      <c r="E110" s="70">
        <f t="shared" si="51"/>
        <v>0</v>
      </c>
      <c r="F110" s="70">
        <f t="shared" si="51"/>
        <v>0</v>
      </c>
      <c r="G110" s="70">
        <f t="shared" si="51"/>
        <v>0</v>
      </c>
      <c r="H110" s="70">
        <f t="shared" si="51"/>
        <v>18116000</v>
      </c>
      <c r="I110" s="70">
        <f t="shared" si="51"/>
        <v>37916000</v>
      </c>
      <c r="J110" s="70">
        <f t="shared" si="51"/>
        <v>-1700</v>
      </c>
      <c r="K110" s="89">
        <f t="shared" si="51"/>
        <v>37913555</v>
      </c>
      <c r="L110" s="89">
        <f t="shared" si="51"/>
        <v>350000</v>
      </c>
      <c r="M110" s="70">
        <f t="shared" si="51"/>
        <v>37563555</v>
      </c>
      <c r="N110" s="50">
        <f t="shared" si="49"/>
        <v>99.99355153497204</v>
      </c>
      <c r="O110" s="50">
        <f t="shared" si="50"/>
        <v>99.07045838168584</v>
      </c>
      <c r="P110" s="94">
        <f t="shared" si="34"/>
        <v>0.9907684731753591</v>
      </c>
      <c r="Q110" s="61"/>
      <c r="R110" s="93"/>
      <c r="S110" s="112">
        <f>+R110+R109</f>
        <v>0</v>
      </c>
      <c r="T110" s="113"/>
    </row>
    <row r="111" spans="1:20" ht="40.5">
      <c r="A111" s="82" t="s">
        <v>244</v>
      </c>
      <c r="B111" s="95" t="s">
        <v>107</v>
      </c>
      <c r="C111" s="51">
        <v>19800000</v>
      </c>
      <c r="D111" s="51">
        <v>0</v>
      </c>
      <c r="E111" s="51">
        <v>0</v>
      </c>
      <c r="F111" s="71">
        <v>0</v>
      </c>
      <c r="G111" s="71">
        <f t="shared" si="43"/>
        <v>0</v>
      </c>
      <c r="H111" s="51">
        <f>20000000+12900000-14784000</f>
        <v>18116000</v>
      </c>
      <c r="I111" s="71">
        <f>+C111+H111</f>
        <v>37916000</v>
      </c>
      <c r="J111" s="73">
        <f>+'[3]Informe'!$L$112</f>
        <v>-1700</v>
      </c>
      <c r="K111" s="73">
        <f>3500000+4158003+30257252-1700</f>
        <v>37913555</v>
      </c>
      <c r="L111" s="73">
        <f>+'[3]Informe'!$R$112</f>
        <v>350000</v>
      </c>
      <c r="M111" s="71">
        <f>350000+350000+4508003+4060449+26895103+350000+350000+350000+350000</f>
        <v>37563555</v>
      </c>
      <c r="N111" s="50">
        <f t="shared" si="49"/>
        <v>99.99355153497204</v>
      </c>
      <c r="O111" s="50">
        <f t="shared" si="50"/>
        <v>99.07045838168584</v>
      </c>
      <c r="P111" s="94">
        <f t="shared" si="34"/>
        <v>0.9907684731753591</v>
      </c>
      <c r="Q111" s="61"/>
      <c r="R111" s="93"/>
      <c r="S111" s="112"/>
      <c r="T111" s="113"/>
    </row>
    <row r="112" spans="1:20" ht="30">
      <c r="A112" s="81" t="s">
        <v>245</v>
      </c>
      <c r="B112" s="92" t="s">
        <v>108</v>
      </c>
      <c r="C112" s="70">
        <f>SUM(C113:C118)</f>
        <v>997000000</v>
      </c>
      <c r="D112" s="70">
        <f aca="true" t="shared" si="52" ref="D112:M112">SUM(D113:D118)</f>
        <v>0</v>
      </c>
      <c r="E112" s="70">
        <f t="shared" si="52"/>
        <v>0</v>
      </c>
      <c r="F112" s="70">
        <f t="shared" si="52"/>
        <v>-1400000</v>
      </c>
      <c r="G112" s="70">
        <f t="shared" si="52"/>
        <v>-1400000</v>
      </c>
      <c r="H112" s="70">
        <f t="shared" si="52"/>
        <v>-178594000</v>
      </c>
      <c r="I112" s="70">
        <f t="shared" si="52"/>
        <v>818406000</v>
      </c>
      <c r="J112" s="70">
        <f t="shared" si="52"/>
        <v>9354141</v>
      </c>
      <c r="K112" s="89">
        <f t="shared" si="52"/>
        <v>817410985</v>
      </c>
      <c r="L112" s="89">
        <f t="shared" si="52"/>
        <v>106282346</v>
      </c>
      <c r="M112" s="70">
        <f t="shared" si="52"/>
        <v>793920992</v>
      </c>
      <c r="N112" s="50">
        <f t="shared" si="49"/>
        <v>99.87842036837462</v>
      </c>
      <c r="O112" s="50">
        <f t="shared" si="50"/>
        <v>97.00820766221166</v>
      </c>
      <c r="P112" s="94">
        <f t="shared" si="34"/>
        <v>0.97126293452002</v>
      </c>
      <c r="Q112" s="61"/>
      <c r="R112" s="93"/>
      <c r="S112" s="112"/>
      <c r="T112" s="113"/>
    </row>
    <row r="113" spans="1:20" ht="30">
      <c r="A113" s="82" t="s">
        <v>246</v>
      </c>
      <c r="B113" s="95" t="s">
        <v>109</v>
      </c>
      <c r="C113" s="51">
        <v>130500000</v>
      </c>
      <c r="D113" s="84">
        <v>0</v>
      </c>
      <c r="E113" s="84">
        <v>0</v>
      </c>
      <c r="F113" s="73">
        <v>0</v>
      </c>
      <c r="G113" s="73">
        <f t="shared" si="43"/>
        <v>0</v>
      </c>
      <c r="H113" s="84">
        <f>-85000000-20000000+10000000+10084000</f>
        <v>-84916000</v>
      </c>
      <c r="I113" s="71">
        <f aca="true" t="shared" si="53" ref="I113:I121">+C113+H113</f>
        <v>45584000</v>
      </c>
      <c r="J113" s="73">
        <f>+'[3]Informe'!$L114</f>
        <v>499959</v>
      </c>
      <c r="K113" s="73">
        <f>4485824+4341120+14700000+3600000+8300000+5900000+3600000+499959</f>
        <v>45426903</v>
      </c>
      <c r="L113" s="73">
        <f>+'[3]Informe'!$R114</f>
        <v>9700000</v>
      </c>
      <c r="M113" s="73">
        <f>1495274+1495275+1447040+2942314+4847000+5800000+10350000+7111259+9700000</f>
        <v>45188162</v>
      </c>
      <c r="N113" s="50">
        <f aca="true" t="shared" si="54" ref="N113:N118">+K113/I113*100</f>
        <v>99.65536811161812</v>
      </c>
      <c r="O113" s="50">
        <f aca="true" t="shared" si="55" ref="O113:O118">+M113/I113*100</f>
        <v>99.13162951912952</v>
      </c>
      <c r="P113" s="94">
        <f t="shared" si="34"/>
        <v>0.9947445019529506</v>
      </c>
      <c r="Q113" s="61"/>
      <c r="R113" s="93"/>
      <c r="S113" s="112"/>
      <c r="T113" s="113"/>
    </row>
    <row r="114" spans="1:20" ht="30">
      <c r="A114" s="82" t="s">
        <v>247</v>
      </c>
      <c r="B114" s="95" t="s">
        <v>135</v>
      </c>
      <c r="C114" s="51">
        <v>627000000</v>
      </c>
      <c r="D114" s="84">
        <v>0</v>
      </c>
      <c r="E114" s="84">
        <v>0</v>
      </c>
      <c r="F114" s="73">
        <v>5000000</v>
      </c>
      <c r="G114" s="73">
        <f t="shared" si="43"/>
        <v>5000000</v>
      </c>
      <c r="H114" s="84">
        <f>-106960000-9000000+5000000</f>
        <v>-110960000</v>
      </c>
      <c r="I114" s="71">
        <f t="shared" si="53"/>
        <v>516040000</v>
      </c>
      <c r="J114" s="73">
        <f>+'[3]Informe'!$L115</f>
        <v>0</v>
      </c>
      <c r="K114" s="73">
        <f>85434994+51333300+151279217+7500000+10500000+24013664+43800000+65385407+28910851+35593928+12211971</f>
        <v>515963332</v>
      </c>
      <c r="L114" s="73">
        <f>+'[3]Informe'!$R115</f>
        <v>55818179</v>
      </c>
      <c r="M114" s="73">
        <f>22410830+55481586+35612945+47883302+41714105+45724072+40637870+49113335+61636540+46513071+55818179</f>
        <v>502545835</v>
      </c>
      <c r="N114" s="50">
        <f t="shared" si="54"/>
        <v>99.9851430121696</v>
      </c>
      <c r="O114" s="50">
        <f t="shared" si="55"/>
        <v>97.38505445314317</v>
      </c>
      <c r="P114" s="94">
        <f t="shared" si="34"/>
        <v>0.9739952508873246</v>
      </c>
      <c r="Q114" s="61"/>
      <c r="R114" s="93"/>
      <c r="S114" s="112"/>
      <c r="T114" s="113"/>
    </row>
    <row r="115" spans="1:20" ht="20.25">
      <c r="A115" s="82" t="s">
        <v>248</v>
      </c>
      <c r="B115" s="95" t="s">
        <v>110</v>
      </c>
      <c r="C115" s="51">
        <v>7000000</v>
      </c>
      <c r="D115" s="84">
        <v>0</v>
      </c>
      <c r="E115" s="84">
        <v>0</v>
      </c>
      <c r="F115" s="85">
        <v>0</v>
      </c>
      <c r="G115" s="73">
        <f t="shared" si="43"/>
        <v>0</v>
      </c>
      <c r="H115" s="84">
        <v>0</v>
      </c>
      <c r="I115" s="71">
        <f t="shared" si="53"/>
        <v>7000000</v>
      </c>
      <c r="J115" s="73">
        <f>+'[3]Informe'!$L116</f>
        <v>0</v>
      </c>
      <c r="K115" s="73">
        <f>2167364+2167364+1086542+679377+693130+191948+9794</f>
        <v>6995519</v>
      </c>
      <c r="L115" s="73">
        <f>+'[3]Informe'!$R116</f>
        <v>0</v>
      </c>
      <c r="M115" s="71">
        <f>2167364+2167364+1086542+679377+693130+191948-334945</f>
        <v>6650780</v>
      </c>
      <c r="N115" s="50">
        <f t="shared" si="54"/>
        <v>99.9359857142857</v>
      </c>
      <c r="O115" s="50">
        <f t="shared" si="55"/>
        <v>95.01114285714286</v>
      </c>
      <c r="P115" s="94">
        <f t="shared" si="34"/>
        <v>0.950720025204706</v>
      </c>
      <c r="Q115" s="61"/>
      <c r="R115" s="93"/>
      <c r="S115" s="112"/>
      <c r="T115" s="113"/>
    </row>
    <row r="116" spans="1:20" ht="30">
      <c r="A116" s="82" t="s">
        <v>249</v>
      </c>
      <c r="B116" s="95" t="s">
        <v>111</v>
      </c>
      <c r="C116" s="51">
        <v>13000000</v>
      </c>
      <c r="D116" s="84">
        <v>0</v>
      </c>
      <c r="E116" s="84">
        <v>0</v>
      </c>
      <c r="F116" s="73">
        <v>0</v>
      </c>
      <c r="G116" s="73">
        <f t="shared" si="43"/>
        <v>0</v>
      </c>
      <c r="H116" s="84">
        <f>7000000+3000000</f>
        <v>10000000</v>
      </c>
      <c r="I116" s="71">
        <f t="shared" si="53"/>
        <v>23000000</v>
      </c>
      <c r="J116" s="73">
        <f>+'[3]Informe'!$L117</f>
        <v>2854182</v>
      </c>
      <c r="K116" s="73">
        <f>4451348+2167364+2167364+2556978+2718205+2873850+2455229+2854182</f>
        <v>22244520</v>
      </c>
      <c r="L116" s="73">
        <f>+'[3]Informe'!$R117</f>
        <v>2854182</v>
      </c>
      <c r="M116" s="71">
        <f>4451348+2167364+2167364+2556978+2718205+2873850+2455229+2854182</f>
        <v>22244520</v>
      </c>
      <c r="N116" s="50">
        <f t="shared" si="54"/>
        <v>96.71530434782609</v>
      </c>
      <c r="O116" s="50">
        <f t="shared" si="55"/>
        <v>96.71530434782609</v>
      </c>
      <c r="P116" s="94">
        <f t="shared" si="34"/>
        <v>1</v>
      </c>
      <c r="Q116" s="61"/>
      <c r="R116" s="93"/>
      <c r="S116" s="112"/>
      <c r="T116" s="113"/>
    </row>
    <row r="117" spans="1:20" ht="40.5">
      <c r="A117" s="82" t="s">
        <v>250</v>
      </c>
      <c r="B117" s="95" t="s">
        <v>113</v>
      </c>
      <c r="C117" s="51">
        <v>119000000</v>
      </c>
      <c r="D117" s="84">
        <v>0</v>
      </c>
      <c r="E117" s="84">
        <v>0</v>
      </c>
      <c r="F117" s="73">
        <v>-6400000</v>
      </c>
      <c r="G117" s="73">
        <f t="shared" si="43"/>
        <v>-6400000</v>
      </c>
      <c r="H117" s="84">
        <f>74028000+19584000-6400000</f>
        <v>87212000</v>
      </c>
      <c r="I117" s="71">
        <f t="shared" si="53"/>
        <v>206212000</v>
      </c>
      <c r="J117" s="73">
        <f>+'[3]Informe'!$L118</f>
        <v>6000000</v>
      </c>
      <c r="K117" s="73">
        <f>84077727+6600900+3000000+1440000+18671328+78356398+6064835+2000000+6000000</f>
        <v>206211188</v>
      </c>
      <c r="L117" s="73">
        <f>+'[3]Informe'!$R118</f>
        <v>36909985</v>
      </c>
      <c r="M117" s="71">
        <f>46632066+446155+3000000+854920+49637959+26989407+374920+2804610+29105376+8368520+36909985</f>
        <v>205123918</v>
      </c>
      <c r="N117" s="50">
        <f t="shared" si="54"/>
        <v>99.99960623048125</v>
      </c>
      <c r="O117" s="50">
        <f t="shared" si="55"/>
        <v>99.47234787500243</v>
      </c>
      <c r="P117" s="94">
        <f t="shared" si="34"/>
        <v>0.994727395683303</v>
      </c>
      <c r="Q117" s="61"/>
      <c r="R117" s="93"/>
      <c r="S117" s="112"/>
      <c r="T117" s="113"/>
    </row>
    <row r="118" spans="1:20" ht="20.25">
      <c r="A118" s="82" t="s">
        <v>251</v>
      </c>
      <c r="B118" s="95" t="s">
        <v>136</v>
      </c>
      <c r="C118" s="51">
        <v>100500000</v>
      </c>
      <c r="D118" s="84">
        <v>0</v>
      </c>
      <c r="E118" s="84">
        <v>0</v>
      </c>
      <c r="F118" s="85">
        <v>0</v>
      </c>
      <c r="G118" s="73">
        <f t="shared" si="43"/>
        <v>0</v>
      </c>
      <c r="H118" s="84">
        <f>-15000000-54046000-5000000-5884000</f>
        <v>-79930000</v>
      </c>
      <c r="I118" s="71">
        <f t="shared" si="53"/>
        <v>20570000</v>
      </c>
      <c r="J118" s="73">
        <f>+'[3]Informe'!$L119</f>
        <v>0</v>
      </c>
      <c r="K118" s="73">
        <f>7176652+3340000+10052871</f>
        <v>20569523</v>
      </c>
      <c r="L118" s="73">
        <f>+'[3]Informe'!$R119</f>
        <v>1000000</v>
      </c>
      <c r="M118" s="71">
        <f>3588326+5928326+1651125+1000000</f>
        <v>12167777</v>
      </c>
      <c r="N118" s="50">
        <f t="shared" si="54"/>
        <v>99.99768108896451</v>
      </c>
      <c r="O118" s="50">
        <f t="shared" si="55"/>
        <v>59.153023821098685</v>
      </c>
      <c r="P118" s="94">
        <f t="shared" si="34"/>
        <v>0.5915439555890528</v>
      </c>
      <c r="Q118" s="61"/>
      <c r="R118" s="93"/>
      <c r="S118" s="112"/>
      <c r="T118" s="113"/>
    </row>
    <row r="119" spans="1:20" ht="30">
      <c r="A119" s="81" t="s">
        <v>252</v>
      </c>
      <c r="B119" s="92" t="s">
        <v>114</v>
      </c>
      <c r="C119" s="70">
        <f>SUM(C120:C121)</f>
        <v>102800000</v>
      </c>
      <c r="D119" s="70">
        <f aca="true" t="shared" si="56" ref="D119:M119">SUM(D120:D121)</f>
        <v>0</v>
      </c>
      <c r="E119" s="70">
        <f t="shared" si="56"/>
        <v>0</v>
      </c>
      <c r="F119" s="70">
        <v>0</v>
      </c>
      <c r="G119" s="70">
        <f t="shared" si="56"/>
        <v>0</v>
      </c>
      <c r="H119" s="70">
        <f t="shared" si="56"/>
        <v>-1750000</v>
      </c>
      <c r="I119" s="70">
        <f t="shared" si="56"/>
        <v>101050000</v>
      </c>
      <c r="J119" s="70">
        <f t="shared" si="56"/>
        <v>21379264</v>
      </c>
      <c r="K119" s="89">
        <f t="shared" si="56"/>
        <v>91518499</v>
      </c>
      <c r="L119" s="89">
        <f t="shared" si="56"/>
        <v>19504076</v>
      </c>
      <c r="M119" s="70">
        <f t="shared" si="56"/>
        <v>84905811</v>
      </c>
      <c r="N119" s="50">
        <f>+K119/I119*100</f>
        <v>90.56753983176645</v>
      </c>
      <c r="O119" s="50">
        <f>+M119/I119*100</f>
        <v>84.02356358238495</v>
      </c>
      <c r="P119" s="94">
        <f t="shared" si="34"/>
        <v>0.9277447939787561</v>
      </c>
      <c r="Q119" s="61"/>
      <c r="R119" s="93"/>
      <c r="S119" s="112"/>
      <c r="T119" s="113"/>
    </row>
    <row r="120" spans="1:20" ht="40.5">
      <c r="A120" s="82" t="s">
        <v>253</v>
      </c>
      <c r="B120" s="95" t="s">
        <v>117</v>
      </c>
      <c r="C120" s="51">
        <v>5000000</v>
      </c>
      <c r="D120" s="84">
        <v>0</v>
      </c>
      <c r="E120" s="84">
        <v>0</v>
      </c>
      <c r="F120" s="73">
        <v>0</v>
      </c>
      <c r="G120" s="73">
        <f t="shared" si="43"/>
        <v>0</v>
      </c>
      <c r="H120" s="84">
        <v>5250000</v>
      </c>
      <c r="I120" s="71">
        <f t="shared" si="53"/>
        <v>10250000</v>
      </c>
      <c r="J120" s="73">
        <f>+'[3]Informe'!$L121</f>
        <v>726560</v>
      </c>
      <c r="K120" s="73">
        <f>731170+1730240+584010+2082740+747280+876140+748780+726560</f>
        <v>8226920</v>
      </c>
      <c r="L120" s="73">
        <f>+'[3]Informe'!$R121</f>
        <v>726560</v>
      </c>
      <c r="M120" s="71">
        <f>731170+1730240+584010+2082740+747280+876140+748780+726560</f>
        <v>8226920</v>
      </c>
      <c r="N120" s="50">
        <f>+K120/I120*100</f>
        <v>80.26263414634145</v>
      </c>
      <c r="O120" s="50">
        <f>+M120/I120*100</f>
        <v>80.26263414634145</v>
      </c>
      <c r="P120" s="94">
        <f t="shared" si="34"/>
        <v>1</v>
      </c>
      <c r="Q120" s="61"/>
      <c r="R120" s="93"/>
      <c r="S120" s="112"/>
      <c r="T120" s="113"/>
    </row>
    <row r="121" spans="1:20" ht="30">
      <c r="A121" s="82" t="s">
        <v>254</v>
      </c>
      <c r="B121" s="95" t="s">
        <v>118</v>
      </c>
      <c r="C121" s="51">
        <v>97800000</v>
      </c>
      <c r="D121" s="84">
        <v>0</v>
      </c>
      <c r="E121" s="84">
        <v>0</v>
      </c>
      <c r="F121" s="86">
        <v>0</v>
      </c>
      <c r="G121" s="73">
        <f t="shared" si="43"/>
        <v>0</v>
      </c>
      <c r="H121" s="84">
        <v>-7000000</v>
      </c>
      <c r="I121" s="71">
        <f t="shared" si="53"/>
        <v>90800000</v>
      </c>
      <c r="J121" s="73">
        <f>+'[3]Informe'!$L122</f>
        <v>20652704</v>
      </c>
      <c r="K121" s="73">
        <f>41200000+26230500+6316125+2450000+12321125-25878875+20652704</f>
        <v>83291579</v>
      </c>
      <c r="L121" s="73">
        <f>+'[3]Informe'!$R122</f>
        <v>18777516</v>
      </c>
      <c r="M121" s="71">
        <f>3400000+3300000+10403625-900000+5750000+28199250+2689875+2368750+2689875+18777516</f>
        <v>76678891</v>
      </c>
      <c r="N121" s="50">
        <f>+K121/I121*100</f>
        <v>91.73081387665198</v>
      </c>
      <c r="O121" s="50">
        <f>+M121/I121*100</f>
        <v>84.44811784140968</v>
      </c>
      <c r="P121" s="94">
        <f t="shared" si="34"/>
        <v>0.9206079644618095</v>
      </c>
      <c r="Q121" s="61"/>
      <c r="R121" s="93"/>
      <c r="S121" s="112"/>
      <c r="T121" s="113"/>
    </row>
    <row r="122" spans="1:20" ht="12.75">
      <c r="A122" s="81" t="s">
        <v>255</v>
      </c>
      <c r="B122" s="92" t="s">
        <v>137</v>
      </c>
      <c r="C122" s="70">
        <f>+C126</f>
        <v>1009705338</v>
      </c>
      <c r="D122" s="70">
        <f aca="true" t="shared" si="57" ref="D122:M122">+D126</f>
        <v>0</v>
      </c>
      <c r="E122" s="70">
        <f t="shared" si="57"/>
        <v>0</v>
      </c>
      <c r="F122" s="70">
        <f t="shared" si="57"/>
        <v>0</v>
      </c>
      <c r="G122" s="70">
        <f t="shared" si="57"/>
        <v>0</v>
      </c>
      <c r="H122" s="70">
        <f t="shared" si="57"/>
        <v>329590606</v>
      </c>
      <c r="I122" s="70">
        <f t="shared" si="57"/>
        <v>1339295944</v>
      </c>
      <c r="J122" s="70">
        <f t="shared" si="57"/>
        <v>429583703</v>
      </c>
      <c r="K122" s="89">
        <f t="shared" si="57"/>
        <v>1237565506</v>
      </c>
      <c r="L122" s="89">
        <f t="shared" si="57"/>
        <v>328119675</v>
      </c>
      <c r="M122" s="70">
        <f t="shared" si="57"/>
        <v>965876423</v>
      </c>
      <c r="N122" s="50">
        <f>+K122/I122*100</f>
        <v>92.40418531425046</v>
      </c>
      <c r="O122" s="50">
        <f>+M122/I122*100</f>
        <v>72.11822206489114</v>
      </c>
      <c r="P122" s="94">
        <f t="shared" si="34"/>
        <v>0.7804648871653345</v>
      </c>
      <c r="Q122" s="61"/>
      <c r="R122" s="93"/>
      <c r="S122" s="112"/>
      <c r="T122" s="113"/>
    </row>
    <row r="123" spans="1:20" ht="20.25">
      <c r="A123" s="81" t="s">
        <v>256</v>
      </c>
      <c r="B123" s="92" t="s">
        <v>257</v>
      </c>
      <c r="C123" s="96">
        <f>+C124</f>
        <v>1009705338</v>
      </c>
      <c r="D123" s="96">
        <f aca="true" t="shared" si="58" ref="D123:M125">+D124</f>
        <v>0</v>
      </c>
      <c r="E123" s="96">
        <f t="shared" si="58"/>
        <v>0</v>
      </c>
      <c r="F123" s="96">
        <f t="shared" si="58"/>
        <v>0</v>
      </c>
      <c r="G123" s="96">
        <f t="shared" si="58"/>
        <v>0</v>
      </c>
      <c r="H123" s="96">
        <f t="shared" si="58"/>
        <v>329590606</v>
      </c>
      <c r="I123" s="96">
        <f t="shared" si="58"/>
        <v>1339295944</v>
      </c>
      <c r="J123" s="96">
        <f t="shared" si="58"/>
        <v>429583703</v>
      </c>
      <c r="K123" s="103">
        <f t="shared" si="58"/>
        <v>1237565506</v>
      </c>
      <c r="L123" s="103">
        <f t="shared" si="58"/>
        <v>328119675</v>
      </c>
      <c r="M123" s="96">
        <f t="shared" si="58"/>
        <v>965876423</v>
      </c>
      <c r="N123" s="75">
        <f aca="true" t="shared" si="59" ref="N123:O125">+N124</f>
        <v>92.40418531425046</v>
      </c>
      <c r="O123" s="75">
        <f t="shared" si="59"/>
        <v>72.11822206489114</v>
      </c>
      <c r="P123" s="94">
        <f t="shared" si="34"/>
        <v>0.7804648871653345</v>
      </c>
      <c r="Q123" s="61"/>
      <c r="R123" s="93"/>
      <c r="S123" s="112"/>
      <c r="T123" s="113"/>
    </row>
    <row r="124" spans="1:20" ht="20.25">
      <c r="A124" s="81" t="s">
        <v>258</v>
      </c>
      <c r="B124" s="92" t="s">
        <v>80</v>
      </c>
      <c r="C124" s="96">
        <f>+C125</f>
        <v>1009705338</v>
      </c>
      <c r="D124" s="96">
        <f t="shared" si="58"/>
        <v>0</v>
      </c>
      <c r="E124" s="96">
        <f t="shared" si="58"/>
        <v>0</v>
      </c>
      <c r="F124" s="96">
        <f t="shared" si="58"/>
        <v>0</v>
      </c>
      <c r="G124" s="96">
        <f t="shared" si="58"/>
        <v>0</v>
      </c>
      <c r="H124" s="96">
        <f t="shared" si="58"/>
        <v>329590606</v>
      </c>
      <c r="I124" s="96">
        <f t="shared" si="58"/>
        <v>1339295944</v>
      </c>
      <c r="J124" s="96">
        <f t="shared" si="58"/>
        <v>429583703</v>
      </c>
      <c r="K124" s="103">
        <f t="shared" si="58"/>
        <v>1237565506</v>
      </c>
      <c r="L124" s="103">
        <f t="shared" si="58"/>
        <v>328119675</v>
      </c>
      <c r="M124" s="96">
        <f t="shared" si="58"/>
        <v>965876423</v>
      </c>
      <c r="N124" s="75">
        <f t="shared" si="59"/>
        <v>92.40418531425046</v>
      </c>
      <c r="O124" s="75">
        <f t="shared" si="59"/>
        <v>72.11822206489114</v>
      </c>
      <c r="P124" s="94">
        <f t="shared" si="34"/>
        <v>0.7804648871653345</v>
      </c>
      <c r="Q124" s="61"/>
      <c r="R124" s="93"/>
      <c r="S124" s="112"/>
      <c r="T124" s="113"/>
    </row>
    <row r="125" spans="1:20" ht="12.75">
      <c r="A125" s="81" t="s">
        <v>259</v>
      </c>
      <c r="B125" s="92" t="s">
        <v>81</v>
      </c>
      <c r="C125" s="96">
        <f>+C126</f>
        <v>1009705338</v>
      </c>
      <c r="D125" s="96">
        <f t="shared" si="58"/>
        <v>0</v>
      </c>
      <c r="E125" s="96">
        <f t="shared" si="58"/>
        <v>0</v>
      </c>
      <c r="F125" s="96">
        <f t="shared" si="58"/>
        <v>0</v>
      </c>
      <c r="G125" s="96">
        <f t="shared" si="58"/>
        <v>0</v>
      </c>
      <c r="H125" s="96">
        <f t="shared" si="58"/>
        <v>329590606</v>
      </c>
      <c r="I125" s="96">
        <f t="shared" si="58"/>
        <v>1339295944</v>
      </c>
      <c r="J125" s="96">
        <f t="shared" si="58"/>
        <v>429583703</v>
      </c>
      <c r="K125" s="103">
        <f t="shared" si="58"/>
        <v>1237565506</v>
      </c>
      <c r="L125" s="103">
        <f t="shared" si="58"/>
        <v>328119675</v>
      </c>
      <c r="M125" s="96">
        <f t="shared" si="58"/>
        <v>965876423</v>
      </c>
      <c r="N125" s="75">
        <f t="shared" si="59"/>
        <v>92.40418531425046</v>
      </c>
      <c r="O125" s="75">
        <f t="shared" si="59"/>
        <v>72.11822206489114</v>
      </c>
      <c r="P125" s="94">
        <f t="shared" si="34"/>
        <v>0.7804648871653345</v>
      </c>
      <c r="Q125" s="61"/>
      <c r="R125" s="93"/>
      <c r="S125" s="112"/>
      <c r="T125" s="113"/>
    </row>
    <row r="126" spans="1:20" ht="12.75">
      <c r="A126" s="82" t="s">
        <v>260</v>
      </c>
      <c r="B126" s="95" t="s">
        <v>261</v>
      </c>
      <c r="C126" s="51">
        <v>1009705338</v>
      </c>
      <c r="D126" s="51">
        <v>0</v>
      </c>
      <c r="E126" s="51">
        <v>0</v>
      </c>
      <c r="F126" s="51">
        <v>0</v>
      </c>
      <c r="G126" s="71">
        <f>+D126+E126+F126</f>
        <v>0</v>
      </c>
      <c r="H126" s="51">
        <v>329590606</v>
      </c>
      <c r="I126" s="71">
        <f>+C126+H126</f>
        <v>1339295944</v>
      </c>
      <c r="J126" s="73">
        <f>+'[3]Informe'!$L$127</f>
        <v>429583703</v>
      </c>
      <c r="K126" s="73">
        <f>380241242+28324004+115708132+283708425+429583703</f>
        <v>1237565506</v>
      </c>
      <c r="L126" s="73">
        <f>+'[3]Informe'!$R$127</f>
        <v>328119675</v>
      </c>
      <c r="M126" s="71">
        <f>152096497+36454876+43877135+148620443+256707797+328119675</f>
        <v>965876423</v>
      </c>
      <c r="N126" s="50">
        <f>+K126/I126*100</f>
        <v>92.40418531425046</v>
      </c>
      <c r="O126" s="50">
        <f>+M126/I126*100</f>
        <v>72.11822206489114</v>
      </c>
      <c r="P126" s="94">
        <f t="shared" si="34"/>
        <v>0.7804648871653345</v>
      </c>
      <c r="Q126" s="61"/>
      <c r="R126" s="93"/>
      <c r="S126" s="112"/>
      <c r="T126" s="113"/>
    </row>
    <row r="127" spans="1:20" ht="12.75">
      <c r="A127" s="81" t="s">
        <v>57</v>
      </c>
      <c r="B127" s="92" t="s">
        <v>40</v>
      </c>
      <c r="C127" s="96">
        <f>+C128</f>
        <v>4469019662</v>
      </c>
      <c r="D127" s="96">
        <f aca="true" t="shared" si="60" ref="D127:M127">+D128</f>
        <v>0</v>
      </c>
      <c r="E127" s="96">
        <f t="shared" si="60"/>
        <v>0</v>
      </c>
      <c r="F127" s="111">
        <f t="shared" si="60"/>
        <v>0</v>
      </c>
      <c r="G127" s="96">
        <f t="shared" si="60"/>
        <v>0</v>
      </c>
      <c r="H127" s="96">
        <f t="shared" si="60"/>
        <v>-329590606</v>
      </c>
      <c r="I127" s="96">
        <f t="shared" si="60"/>
        <v>4139429056</v>
      </c>
      <c r="J127" s="96">
        <f t="shared" si="60"/>
        <v>0</v>
      </c>
      <c r="K127" s="103">
        <f t="shared" si="60"/>
        <v>0</v>
      </c>
      <c r="L127" s="103">
        <f t="shared" si="60"/>
        <v>0</v>
      </c>
      <c r="M127" s="96">
        <f t="shared" si="60"/>
        <v>0</v>
      </c>
      <c r="N127" s="75">
        <f>+N128</f>
        <v>0</v>
      </c>
      <c r="O127" s="75">
        <f>+O128</f>
        <v>0</v>
      </c>
      <c r="P127" s="94">
        <v>0</v>
      </c>
      <c r="Q127" s="61"/>
      <c r="R127" s="93"/>
      <c r="S127" s="112"/>
      <c r="T127" s="113"/>
    </row>
    <row r="128" spans="1:20" ht="12.75">
      <c r="A128" s="82" t="s">
        <v>262</v>
      </c>
      <c r="B128" s="95" t="s">
        <v>40</v>
      </c>
      <c r="C128" s="97">
        <v>4469019662</v>
      </c>
      <c r="D128" s="51">
        <v>0</v>
      </c>
      <c r="E128" s="51">
        <v>0</v>
      </c>
      <c r="F128" s="110">
        <v>0</v>
      </c>
      <c r="G128" s="71">
        <f>+D128+E128+F128</f>
        <v>0</v>
      </c>
      <c r="H128" s="51">
        <v>-329590606</v>
      </c>
      <c r="I128" s="71">
        <f>+C128+H128</f>
        <v>4139429056</v>
      </c>
      <c r="J128" s="73">
        <f>+'[1]Sheet'!$G131</f>
        <v>0</v>
      </c>
      <c r="K128" s="73">
        <v>0</v>
      </c>
      <c r="L128" s="73">
        <f>+'[2]Sheet'!$H131</f>
        <v>0</v>
      </c>
      <c r="M128" s="71">
        <v>0</v>
      </c>
      <c r="N128" s="50">
        <f>+K128/I128*100</f>
        <v>0</v>
      </c>
      <c r="O128" s="50">
        <f>+M128/I128*100</f>
        <v>0</v>
      </c>
      <c r="P128" s="94">
        <v>0</v>
      </c>
      <c r="Q128" s="61"/>
      <c r="R128" s="93"/>
      <c r="S128" s="112"/>
      <c r="T128" s="113"/>
    </row>
    <row r="129" spans="1:20" ht="12.75">
      <c r="A129" s="81" t="s">
        <v>58</v>
      </c>
      <c r="B129" s="92" t="s">
        <v>39</v>
      </c>
      <c r="C129" s="96">
        <f>+C122+C90+C10</f>
        <v>3746395338</v>
      </c>
      <c r="D129" s="96">
        <f aca="true" t="shared" si="61" ref="D129:M129">+D122+D90+D10</f>
        <v>0</v>
      </c>
      <c r="E129" s="96">
        <f t="shared" si="61"/>
        <v>0</v>
      </c>
      <c r="F129" s="96">
        <f t="shared" si="61"/>
        <v>0</v>
      </c>
      <c r="G129" s="96">
        <f t="shared" si="61"/>
        <v>0</v>
      </c>
      <c r="H129" s="96">
        <f t="shared" si="61"/>
        <v>329590606</v>
      </c>
      <c r="I129" s="96">
        <f t="shared" si="61"/>
        <v>4075985944</v>
      </c>
      <c r="J129" s="96">
        <f t="shared" si="61"/>
        <v>621629969</v>
      </c>
      <c r="K129" s="103">
        <f t="shared" si="61"/>
        <v>3902517551</v>
      </c>
      <c r="L129" s="103">
        <f t="shared" si="61"/>
        <v>636906355</v>
      </c>
      <c r="M129" s="96">
        <f t="shared" si="61"/>
        <v>3537969624</v>
      </c>
      <c r="N129" s="50">
        <f>+K129/I129*100</f>
        <v>95.74413662403934</v>
      </c>
      <c r="O129" s="50">
        <f>+M129/I129*100</f>
        <v>86.80033917212154</v>
      </c>
      <c r="P129" s="94">
        <f t="shared" si="34"/>
        <v>0.9065864734146842</v>
      </c>
      <c r="Q129" s="61"/>
      <c r="R129" s="93"/>
      <c r="S129" s="112"/>
      <c r="T129" s="113"/>
    </row>
    <row r="130" spans="1:20" ht="20.25">
      <c r="A130" s="81" t="s">
        <v>59</v>
      </c>
      <c r="B130" s="92" t="s">
        <v>138</v>
      </c>
      <c r="C130" s="96">
        <f>+C129+C127</f>
        <v>8215415000</v>
      </c>
      <c r="D130" s="96">
        <f aca="true" t="shared" si="62" ref="D130:M130">+D129+D127</f>
        <v>0</v>
      </c>
      <c r="E130" s="96">
        <f t="shared" si="62"/>
        <v>0</v>
      </c>
      <c r="F130" s="96">
        <f t="shared" si="62"/>
        <v>0</v>
      </c>
      <c r="G130" s="96">
        <f t="shared" si="62"/>
        <v>0</v>
      </c>
      <c r="H130" s="96">
        <f t="shared" si="62"/>
        <v>0</v>
      </c>
      <c r="I130" s="96">
        <f t="shared" si="62"/>
        <v>8215415000</v>
      </c>
      <c r="J130" s="96">
        <f t="shared" si="62"/>
        <v>621629969</v>
      </c>
      <c r="K130" s="103">
        <f t="shared" si="62"/>
        <v>3902517551</v>
      </c>
      <c r="L130" s="103">
        <f t="shared" si="62"/>
        <v>636906355</v>
      </c>
      <c r="M130" s="96">
        <f t="shared" si="62"/>
        <v>3537969624</v>
      </c>
      <c r="N130" s="50">
        <f>+K130/I130*100</f>
        <v>47.50237877210098</v>
      </c>
      <c r="O130" s="50">
        <f>+M130/I130*100</f>
        <v>43.06501404980759</v>
      </c>
      <c r="P130" s="94">
        <f t="shared" si="34"/>
        <v>0.9065864734146842</v>
      </c>
      <c r="Q130" s="61"/>
      <c r="R130" s="93"/>
      <c r="S130" s="112"/>
      <c r="T130" s="113"/>
    </row>
    <row r="131" spans="1:20" ht="12.75">
      <c r="A131" s="58"/>
      <c r="B131" s="53"/>
      <c r="C131" s="53"/>
      <c r="D131" s="59"/>
      <c r="E131" s="59"/>
      <c r="F131" s="59"/>
      <c r="G131" s="59"/>
      <c r="H131" s="59"/>
      <c r="I131" s="51">
        <f>+C130-I130</f>
        <v>0</v>
      </c>
      <c r="J131" s="51">
        <f>+J130-'[3]Informe'!$L$131</f>
        <v>0</v>
      </c>
      <c r="K131" s="84">
        <f>+K130-'[3]Informe'!$M$131</f>
        <v>0</v>
      </c>
      <c r="L131" s="104">
        <f>+L130-'[3]Informe'!$R$131</f>
        <v>0</v>
      </c>
      <c r="M131" s="51">
        <f>+M130-'[3]Informe'!$S$131</f>
        <v>0</v>
      </c>
      <c r="N131" s="59"/>
      <c r="O131" s="59"/>
      <c r="P131" s="61"/>
      <c r="Q131" s="61"/>
      <c r="R131" s="93"/>
      <c r="S131" s="112"/>
      <c r="T131" s="113"/>
    </row>
    <row r="132" spans="1:18" ht="12.75">
      <c r="A132" s="58"/>
      <c r="B132" s="59"/>
      <c r="C132" s="59"/>
      <c r="D132" s="59"/>
      <c r="E132" s="59"/>
      <c r="F132" s="59"/>
      <c r="G132" s="59"/>
      <c r="H132" s="59"/>
      <c r="I132" s="51"/>
      <c r="J132" s="62" t="s">
        <v>44</v>
      </c>
      <c r="K132" s="105" t="s">
        <v>46</v>
      </c>
      <c r="L132" s="105" t="s">
        <v>45</v>
      </c>
      <c r="M132" s="51" t="s">
        <v>56</v>
      </c>
      <c r="N132" s="59"/>
      <c r="O132" s="59"/>
      <c r="P132" s="61"/>
      <c r="Q132" s="61"/>
      <c r="R132" s="93"/>
    </row>
    <row r="133" spans="1:19" ht="12.75">
      <c r="A133" s="57"/>
      <c r="B133" s="59"/>
      <c r="C133" s="59"/>
      <c r="D133" s="59"/>
      <c r="E133" s="59"/>
      <c r="F133" s="59"/>
      <c r="G133" s="59"/>
      <c r="H133" s="59"/>
      <c r="I133" s="51"/>
      <c r="J133" s="50">
        <v>227696457</v>
      </c>
      <c r="K133" s="121">
        <v>2901063269</v>
      </c>
      <c r="L133" s="84">
        <f>+L130</f>
        <v>636906355</v>
      </c>
      <c r="M133" s="51">
        <f>+K133+L133</f>
        <v>3537969624</v>
      </c>
      <c r="N133" s="59"/>
      <c r="O133" s="59"/>
      <c r="P133" s="61"/>
      <c r="Q133" s="61"/>
      <c r="R133" s="93"/>
      <c r="S133" s="33"/>
    </row>
    <row r="134" spans="1:18" ht="12.75">
      <c r="A134" s="58"/>
      <c r="B134" s="59"/>
      <c r="C134" s="59"/>
      <c r="D134" s="59"/>
      <c r="E134" s="59"/>
      <c r="F134" s="59"/>
      <c r="G134" s="59"/>
      <c r="H134" s="59"/>
      <c r="I134" s="53"/>
      <c r="J134" s="50" t="s">
        <v>37</v>
      </c>
      <c r="K134" s="121" t="s">
        <v>37</v>
      </c>
      <c r="L134" s="121" t="s">
        <v>37</v>
      </c>
      <c r="M134" s="60">
        <f>+M130-M133</f>
        <v>0</v>
      </c>
      <c r="N134" s="59"/>
      <c r="O134" s="59"/>
      <c r="P134" s="61"/>
      <c r="Q134" s="61"/>
      <c r="R134" s="93"/>
    </row>
    <row r="135" spans="1:18" ht="12.75">
      <c r="A135" s="57"/>
      <c r="B135" s="59"/>
      <c r="C135" s="59"/>
      <c r="D135" s="59"/>
      <c r="E135" s="59"/>
      <c r="F135" s="59"/>
      <c r="G135" s="59"/>
      <c r="H135" s="59"/>
      <c r="I135" s="53"/>
      <c r="J135" s="53"/>
      <c r="L135" s="106"/>
      <c r="M135" s="60"/>
      <c r="N135" s="59"/>
      <c r="O135" s="59"/>
      <c r="P135" s="61"/>
      <c r="Q135" s="61"/>
      <c r="R135" s="93"/>
    </row>
    <row r="136" spans="1:18" ht="12.75">
      <c r="A136" s="58"/>
      <c r="B136" s="59"/>
      <c r="C136" s="59"/>
      <c r="D136" s="59"/>
      <c r="E136" s="59"/>
      <c r="F136" s="59"/>
      <c r="G136" s="59"/>
      <c r="H136" s="59"/>
      <c r="I136" s="53"/>
      <c r="J136" s="53"/>
      <c r="L136" s="106"/>
      <c r="M136" s="60"/>
      <c r="N136" s="59"/>
      <c r="O136" s="59"/>
      <c r="P136" s="61"/>
      <c r="Q136" s="61"/>
      <c r="R136" s="93"/>
    </row>
    <row r="137" spans="1:18" ht="12.75">
      <c r="A137" s="57"/>
      <c r="B137" s="59"/>
      <c r="C137" s="59"/>
      <c r="D137" s="59"/>
      <c r="E137" s="59"/>
      <c r="F137" s="59"/>
      <c r="G137" s="59"/>
      <c r="H137" s="59"/>
      <c r="I137" s="53"/>
      <c r="J137" s="53"/>
      <c r="L137" s="106"/>
      <c r="M137" s="60"/>
      <c r="N137" s="59"/>
      <c r="O137" s="59"/>
      <c r="P137" s="61"/>
      <c r="Q137" s="61"/>
      <c r="R137" s="93"/>
    </row>
    <row r="138" spans="1:17" ht="12.75">
      <c r="A138" s="57"/>
      <c r="B138" s="59"/>
      <c r="C138" s="59"/>
      <c r="D138" s="59"/>
      <c r="E138" s="59"/>
      <c r="F138" s="59"/>
      <c r="G138" s="59"/>
      <c r="H138" s="59"/>
      <c r="I138" s="53"/>
      <c r="J138" s="53"/>
      <c r="L138" s="106"/>
      <c r="M138" s="60"/>
      <c r="N138" s="59"/>
      <c r="O138" s="59"/>
      <c r="P138" s="61"/>
      <c r="Q138" s="61"/>
    </row>
    <row r="139" spans="1:17" ht="12.75">
      <c r="A139" s="58"/>
      <c r="B139" s="59"/>
      <c r="C139" s="59"/>
      <c r="D139" s="59"/>
      <c r="E139" s="59"/>
      <c r="F139" s="59"/>
      <c r="G139" s="59"/>
      <c r="H139" s="59"/>
      <c r="I139" s="53"/>
      <c r="J139" s="53"/>
      <c r="L139" s="106"/>
      <c r="M139" s="60"/>
      <c r="N139" s="59"/>
      <c r="O139" s="59"/>
      <c r="P139" s="61"/>
      <c r="Q139" s="61"/>
    </row>
    <row r="140" spans="1:17" ht="12.75">
      <c r="A140" s="46"/>
      <c r="B140" s="59"/>
      <c r="C140" s="59"/>
      <c r="D140" s="59"/>
      <c r="E140" s="59"/>
      <c r="F140" s="59"/>
      <c r="G140" s="59"/>
      <c r="H140" s="59"/>
      <c r="I140" s="53"/>
      <c r="J140" s="53"/>
      <c r="L140" s="106"/>
      <c r="M140" s="60"/>
      <c r="N140" s="59"/>
      <c r="O140" s="59"/>
      <c r="P140" s="61"/>
      <c r="Q140" s="61"/>
    </row>
    <row r="141" spans="1:17" ht="12.75">
      <c r="A141" s="46"/>
      <c r="B141" s="59"/>
      <c r="C141" s="48" t="s">
        <v>53</v>
      </c>
      <c r="D141" s="63"/>
      <c r="E141" s="63"/>
      <c r="F141" s="63"/>
      <c r="G141" s="59"/>
      <c r="H141" s="59"/>
      <c r="I141" s="53"/>
      <c r="J141" s="53"/>
      <c r="L141" s="107" t="s">
        <v>43</v>
      </c>
      <c r="M141" s="48"/>
      <c r="N141" s="59"/>
      <c r="O141" s="59"/>
      <c r="P141" s="61"/>
      <c r="Q141" s="61"/>
    </row>
    <row r="142" spans="1:17" ht="13.5" thickBot="1">
      <c r="A142" s="64"/>
      <c r="B142" s="65"/>
      <c r="C142" s="66" t="s">
        <v>41</v>
      </c>
      <c r="D142" s="66"/>
      <c r="E142" s="66"/>
      <c r="F142" s="66"/>
      <c r="G142" s="65"/>
      <c r="H142" s="65"/>
      <c r="I142" s="67"/>
      <c r="J142" s="67"/>
      <c r="L142" s="108" t="s">
        <v>42</v>
      </c>
      <c r="M142" s="68"/>
      <c r="N142" s="65"/>
      <c r="O142" s="65"/>
      <c r="P142" s="69"/>
      <c r="Q142" s="69"/>
    </row>
    <row r="143" spans="1:16" ht="12.75">
      <c r="A143" s="74"/>
      <c r="B143" s="59"/>
      <c r="C143" s="59"/>
      <c r="D143" s="59"/>
      <c r="E143" s="59"/>
      <c r="F143" s="59"/>
      <c r="G143" s="59"/>
      <c r="H143" s="59"/>
      <c r="I143" s="53"/>
      <c r="J143" s="53"/>
      <c r="L143" s="106"/>
      <c r="M143" s="60"/>
      <c r="N143" s="59"/>
      <c r="O143" s="59"/>
      <c r="P143" s="59"/>
    </row>
  </sheetData>
  <sheetProtection/>
  <mergeCells count="2">
    <mergeCell ref="A3:B3"/>
    <mergeCell ref="N5:P5"/>
  </mergeCells>
  <printOptions/>
  <pageMargins left="0.15748031496062992" right="0" top="0.1968503937007874" bottom="0.2362204724409449" header="1.1023622047244095" footer="0"/>
  <pageSetup horizontalDpi="120" verticalDpi="12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PC.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PC.</dc:creator>
  <cp:keywords/>
  <dc:description/>
  <cp:lastModifiedBy>usuario</cp:lastModifiedBy>
  <cp:lastPrinted>2020-12-09T21:44:36Z</cp:lastPrinted>
  <dcterms:created xsi:type="dcterms:W3CDTF">2000-05-13T21:11:02Z</dcterms:created>
  <dcterms:modified xsi:type="dcterms:W3CDTF">2021-08-06T21:01:57Z</dcterms:modified>
  <cp:category/>
  <cp:version/>
  <cp:contentType/>
  <cp:contentStatus/>
</cp:coreProperties>
</file>